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335" firstSheet="5" activeTab="10"/>
  </bookViews>
  <sheets>
    <sheet name="2014 ведомст" sheetId="9" r:id="rId1"/>
    <sheet name="2014 функц" sheetId="6" r:id="rId2"/>
    <sheet name="11 дот бюдж обесп" sheetId="5" r:id="rId3"/>
    <sheet name="13дот сбалансир" sheetId="4" r:id="rId4"/>
    <sheet name="17 военк2013" sheetId="3" r:id="rId5"/>
    <sheet name="18 военк2016 2015" sheetId="2" r:id="rId6"/>
    <sheet name="1 источники" sheetId="1" r:id="rId7"/>
    <sheet name="Лист1" sheetId="7" r:id="rId8"/>
    <sheet name="Лист2" sheetId="8" r:id="rId9"/>
    <sheet name="Лист3" sheetId="10" r:id="rId10"/>
    <sheet name="Лист4" sheetId="11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'2014 ведомст'!$A$6:$G$271</definedName>
    <definedName name="_xlnm._FilterDatabase" localSheetId="1" hidden="1">'2014 функц'!$A$6:$F$205</definedName>
  </definedNames>
  <calcPr calcId="124519" refMode="R1C1"/>
</workbook>
</file>

<file path=xl/calcChain.xml><?xml version="1.0" encoding="utf-8"?>
<calcChain xmlns="http://schemas.openxmlformats.org/spreadsheetml/2006/main">
  <c r="D18" i="1"/>
  <c r="D17"/>
  <c r="D16"/>
  <c r="E18"/>
  <c r="E17"/>
  <c r="C16"/>
  <c r="F70" i="6"/>
  <c r="F67"/>
  <c r="G56" i="9"/>
  <c r="G40" l="1"/>
  <c r="G38" s="1"/>
  <c r="G37" s="1"/>
  <c r="F44" i="6"/>
  <c r="F42" s="1"/>
  <c r="F41" s="1"/>
  <c r="B23" i="11" l="1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B25" s="1"/>
  <c r="C7" l="1"/>
  <c r="C25" s="1"/>
  <c r="B6" i="10" l="1"/>
  <c r="B24" s="1"/>
  <c r="G135" i="9"/>
  <c r="G101"/>
  <c r="G99"/>
  <c r="G100"/>
  <c r="G181"/>
  <c r="G116"/>
  <c r="G212"/>
  <c r="G255"/>
  <c r="C18" i="1"/>
  <c r="G269" i="9" l="1"/>
  <c r="G267"/>
  <c r="G260"/>
  <c r="G259" s="1"/>
  <c r="G258" s="1"/>
  <c r="F203" i="6"/>
  <c r="F194"/>
  <c r="G266" i="9" l="1"/>
  <c r="G265" s="1"/>
  <c r="G257" s="1"/>
  <c r="G172" l="1"/>
  <c r="G174"/>
  <c r="G173" s="1"/>
  <c r="F185" i="6"/>
  <c r="F184" s="1"/>
  <c r="F93" l="1"/>
  <c r="F92" s="1"/>
  <c r="F91" s="1"/>
  <c r="G74" i="9"/>
  <c r="G73" s="1"/>
  <c r="G72" s="1"/>
  <c r="B26" i="4"/>
  <c r="B26" i="5"/>
  <c r="B25"/>
  <c r="B24"/>
  <c r="B23"/>
  <c r="B22"/>
  <c r="B21"/>
  <c r="B20"/>
  <c r="B19"/>
  <c r="B18"/>
  <c r="B17"/>
  <c r="B16"/>
  <c r="B15"/>
  <c r="B14"/>
  <c r="B13"/>
  <c r="B12"/>
  <c r="B11"/>
  <c r="B10"/>
  <c r="B9"/>
  <c r="F133" i="6" l="1"/>
  <c r="F22"/>
  <c r="F53"/>
  <c r="F17"/>
  <c r="F90" l="1"/>
  <c r="F89" s="1"/>
  <c r="F88" s="1"/>
  <c r="F87" s="1"/>
  <c r="F86" s="1"/>
  <c r="F58"/>
  <c r="F57"/>
  <c r="F48"/>
  <c r="F49"/>
  <c r="F50"/>
  <c r="F32"/>
  <c r="F158"/>
  <c r="F151"/>
  <c r="F148"/>
  <c r="F141"/>
  <c r="F136"/>
  <c r="F135" s="1"/>
  <c r="F134" s="1"/>
  <c r="F132"/>
  <c r="F131"/>
  <c r="F120"/>
  <c r="F119" s="1"/>
  <c r="F121"/>
  <c r="F116"/>
  <c r="F111"/>
  <c r="F104"/>
  <c r="F106"/>
  <c r="G71" i="9"/>
  <c r="F47" i="6" l="1"/>
  <c r="F56"/>
  <c r="F118"/>
  <c r="F103"/>
  <c r="G70" i="9" l="1"/>
  <c r="G69" s="1"/>
  <c r="G68" s="1"/>
  <c r="G67" s="1"/>
  <c r="G206" l="1"/>
  <c r="F174" i="6" s="1"/>
  <c r="G205" i="9"/>
  <c r="G157"/>
  <c r="F147" i="6" s="1"/>
  <c r="F115"/>
  <c r="F114" s="1"/>
  <c r="F113" s="1"/>
  <c r="G125" i="9"/>
  <c r="G137"/>
  <c r="G136" s="1"/>
  <c r="G127"/>
  <c r="G189"/>
  <c r="G231"/>
  <c r="G126"/>
  <c r="G204" l="1"/>
  <c r="F173" i="6"/>
  <c r="F172" s="1"/>
  <c r="G195" i="9"/>
  <c r="G180" l="1"/>
  <c r="G124" l="1"/>
  <c r="G123" s="1"/>
  <c r="G134"/>
  <c r="G133" s="1"/>
  <c r="G139"/>
  <c r="G141"/>
  <c r="G146"/>
  <c r="G148"/>
  <c r="G156"/>
  <c r="G160"/>
  <c r="G165"/>
  <c r="F155" i="6" s="1"/>
  <c r="G164" i="9"/>
  <c r="F154" i="6" s="1"/>
  <c r="F183"/>
  <c r="G115" i="9"/>
  <c r="G18"/>
  <c r="G22"/>
  <c r="G211"/>
  <c r="G210" s="1"/>
  <c r="G235"/>
  <c r="F140" i="6" s="1"/>
  <c r="F139" s="1"/>
  <c r="F138" s="1"/>
  <c r="F137" s="1"/>
  <c r="F153" l="1"/>
  <c r="F152" s="1"/>
  <c r="G155" i="9"/>
  <c r="G154" s="1"/>
  <c r="F146" i="6"/>
  <c r="F145" s="1"/>
  <c r="F144" s="1"/>
  <c r="G159" i="9"/>
  <c r="F149" i="6" s="1"/>
  <c r="F150"/>
  <c r="G138" i="9"/>
  <c r="G145"/>
  <c r="G163"/>
  <c r="G162" s="1"/>
  <c r="G222"/>
  <c r="G221" s="1"/>
  <c r="G219"/>
  <c r="G144" l="1"/>
  <c r="G143" s="1"/>
  <c r="G218"/>
  <c r="G217" s="1"/>
  <c r="G61"/>
  <c r="F75" i="6"/>
  <c r="G201" i="9"/>
  <c r="G198"/>
  <c r="F169" i="6" l="1"/>
  <c r="F166"/>
  <c r="F163"/>
  <c r="F60"/>
  <c r="G30" i="9"/>
  <c r="F23" i="6" s="1"/>
  <c r="G28" i="9"/>
  <c r="F21" i="6" s="1"/>
  <c r="F20" l="1"/>
  <c r="G234" i="9"/>
  <c r="G236"/>
  <c r="G228"/>
  <c r="G227" s="1"/>
  <c r="G230"/>
  <c r="G46"/>
  <c r="G45" s="1"/>
  <c r="G179"/>
  <c r="G187"/>
  <c r="G186" s="1"/>
  <c r="G185" s="1"/>
  <c r="G184" s="1"/>
  <c r="G183" s="1"/>
  <c r="G254"/>
  <c r="G252"/>
  <c r="G251" s="1"/>
  <c r="G215"/>
  <c r="G114"/>
  <c r="G119"/>
  <c r="G118" s="1"/>
  <c r="G171"/>
  <c r="G130"/>
  <c r="G129" s="1"/>
  <c r="G128" s="1"/>
  <c r="G122" s="1"/>
  <c r="G151"/>
  <c r="G150" s="1"/>
  <c r="G132" s="1"/>
  <c r="F72" i="6"/>
  <c r="F69"/>
  <c r="F66"/>
  <c r="F63"/>
  <c r="G49" i="9"/>
  <c r="G52"/>
  <c r="G55"/>
  <c r="G58"/>
  <c r="G85"/>
  <c r="G84" s="1"/>
  <c r="G80"/>
  <c r="G79" s="1"/>
  <c r="G78" s="1"/>
  <c r="G77" s="1"/>
  <c r="G76" s="1"/>
  <c r="G65"/>
  <c r="G64" s="1"/>
  <c r="G63" s="1"/>
  <c r="G43"/>
  <c r="G42" s="1"/>
  <c r="G93"/>
  <c r="F33" i="6" s="1"/>
  <c r="G94" i="9"/>
  <c r="F34" i="6" s="1"/>
  <c r="G34" i="9"/>
  <c r="G33" s="1"/>
  <c r="G32" s="1"/>
  <c r="G31" s="1"/>
  <c r="G21"/>
  <c r="G20" s="1"/>
  <c r="G19" s="1"/>
  <c r="F31" i="6" l="1"/>
  <c r="G178" i="9"/>
  <c r="G177" s="1"/>
  <c r="G250"/>
  <c r="F62" i="6"/>
  <c r="G113" i="9"/>
  <c r="G112" s="1"/>
  <c r="G209"/>
  <c r="G208" s="1"/>
  <c r="G48"/>
  <c r="G36" s="1"/>
  <c r="G226"/>
  <c r="G225" s="1"/>
  <c r="G233"/>
  <c r="G232" s="1"/>
  <c r="G246"/>
  <c r="G245" s="1"/>
  <c r="G244" s="1"/>
  <c r="G170"/>
  <c r="G169" s="1"/>
  <c r="G82"/>
  <c r="G83"/>
  <c r="G91"/>
  <c r="G90" s="1"/>
  <c r="G89" s="1"/>
  <c r="G243" l="1"/>
  <c r="G87"/>
  <c r="G88"/>
  <c r="G224"/>
  <c r="G240"/>
  <c r="G203"/>
  <c r="G202" s="1"/>
  <c r="G200"/>
  <c r="G199" s="1"/>
  <c r="G197"/>
  <c r="G196" s="1"/>
  <c r="G194"/>
  <c r="G193" s="1"/>
  <c r="G167"/>
  <c r="G166" s="1"/>
  <c r="G153" s="1"/>
  <c r="G121" s="1"/>
  <c r="G109"/>
  <c r="G108" s="1"/>
  <c r="G107" s="1"/>
  <c r="G106" s="1"/>
  <c r="G103"/>
  <c r="G98" s="1"/>
  <c r="G97" s="1"/>
  <c r="G27"/>
  <c r="G26" s="1"/>
  <c r="G25" s="1"/>
  <c r="G15"/>
  <c r="G14" s="1"/>
  <c r="G13" s="1"/>
  <c r="G12"/>
  <c r="G11" s="1"/>
  <c r="G10" s="1"/>
  <c r="G9" s="1"/>
  <c r="F11" i="6"/>
  <c r="F10" s="1"/>
  <c r="G105" i="9" l="1"/>
  <c r="G24"/>
  <c r="G23" s="1"/>
  <c r="G239"/>
  <c r="G238" s="1"/>
  <c r="G207" s="1"/>
  <c r="G8"/>
  <c r="G192"/>
  <c r="G191" s="1"/>
  <c r="G242"/>
  <c r="G176" l="1"/>
  <c r="G96"/>
  <c r="G95"/>
  <c r="G111"/>
  <c r="G7"/>
  <c r="G4" i="7"/>
  <c r="G22" s="1"/>
  <c r="E5"/>
  <c r="E6"/>
  <c r="E7"/>
  <c r="E8"/>
  <c r="E9"/>
  <c r="E10"/>
  <c r="E11"/>
  <c r="E12"/>
  <c r="E13"/>
  <c r="E14"/>
  <c r="E15"/>
  <c r="E16"/>
  <c r="E17"/>
  <c r="E18"/>
  <c r="E19"/>
  <c r="E20"/>
  <c r="E21"/>
  <c r="E4"/>
  <c r="G22" i="8"/>
  <c r="E22"/>
  <c r="D22"/>
  <c r="C22"/>
  <c r="K21"/>
  <c r="J21"/>
  <c r="L21" s="1"/>
  <c r="F21"/>
  <c r="H21" s="1"/>
  <c r="I21" s="1"/>
  <c r="K20"/>
  <c r="J20"/>
  <c r="F20"/>
  <c r="H20" s="1"/>
  <c r="I20" s="1"/>
  <c r="B20"/>
  <c r="K19"/>
  <c r="J19"/>
  <c r="F19"/>
  <c r="H19" s="1"/>
  <c r="I19" s="1"/>
  <c r="K18"/>
  <c r="J18"/>
  <c r="L18" s="1"/>
  <c r="F18"/>
  <c r="H18" s="1"/>
  <c r="I18" s="1"/>
  <c r="K17"/>
  <c r="J17"/>
  <c r="F17"/>
  <c r="H17" s="1"/>
  <c r="I17" s="1"/>
  <c r="B17"/>
  <c r="B22" s="1"/>
  <c r="K16"/>
  <c r="J16"/>
  <c r="H16"/>
  <c r="I16" s="1"/>
  <c r="F16"/>
  <c r="K15"/>
  <c r="J15"/>
  <c r="H15"/>
  <c r="I15" s="1"/>
  <c r="F15"/>
  <c r="K14"/>
  <c r="J14"/>
  <c r="H14"/>
  <c r="I14" s="1"/>
  <c r="F14"/>
  <c r="K13"/>
  <c r="J13"/>
  <c r="F13"/>
  <c r="H13" s="1"/>
  <c r="I13" s="1"/>
  <c r="K12"/>
  <c r="J12"/>
  <c r="L12" s="1"/>
  <c r="F12"/>
  <c r="H12" s="1"/>
  <c r="I12" s="1"/>
  <c r="K11"/>
  <c r="J11"/>
  <c r="F11"/>
  <c r="H11" s="1"/>
  <c r="I11" s="1"/>
  <c r="K10"/>
  <c r="J10"/>
  <c r="L10" s="1"/>
  <c r="F10"/>
  <c r="H10" s="1"/>
  <c r="I10" s="1"/>
  <c r="K9"/>
  <c r="J9"/>
  <c r="F9"/>
  <c r="H9" s="1"/>
  <c r="I9" s="1"/>
  <c r="K8"/>
  <c r="J8"/>
  <c r="L8" s="1"/>
  <c r="F8"/>
  <c r="H8" s="1"/>
  <c r="I8" s="1"/>
  <c r="K7"/>
  <c r="J7"/>
  <c r="F7"/>
  <c r="H7" s="1"/>
  <c r="I7" s="1"/>
  <c r="K6"/>
  <c r="J6"/>
  <c r="L6" s="1"/>
  <c r="F6"/>
  <c r="H6" s="1"/>
  <c r="I6" s="1"/>
  <c r="K5"/>
  <c r="J5"/>
  <c r="L5" s="1"/>
  <c r="F5"/>
  <c r="H5" s="1"/>
  <c r="I5" s="1"/>
  <c r="K4"/>
  <c r="J4"/>
  <c r="L4" s="1"/>
  <c r="F4"/>
  <c r="F22" s="1"/>
  <c r="C27" i="7"/>
  <c r="H27" s="1"/>
  <c r="K27" s="1"/>
  <c r="C22"/>
  <c r="G21"/>
  <c r="H21" s="1"/>
  <c r="G20"/>
  <c r="H20" s="1"/>
  <c r="B20"/>
  <c r="H19"/>
  <c r="G19"/>
  <c r="L19" s="1"/>
  <c r="M19" s="1"/>
  <c r="H18"/>
  <c r="G18"/>
  <c r="L18" s="1"/>
  <c r="M18" s="1"/>
  <c r="H17"/>
  <c r="G17"/>
  <c r="L17" s="1"/>
  <c r="B17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271" i="9" l="1"/>
  <c r="H4" i="8"/>
  <c r="H22" s="1"/>
  <c r="K22"/>
  <c r="L7"/>
  <c r="L9"/>
  <c r="L22" s="1"/>
  <c r="L11"/>
  <c r="L13"/>
  <c r="L14"/>
  <c r="L15"/>
  <c r="L16"/>
  <c r="L17"/>
  <c r="L19"/>
  <c r="L20"/>
  <c r="I4"/>
  <c r="I22" s="1"/>
  <c r="J22"/>
  <c r="L4" i="7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M17"/>
  <c r="L20"/>
  <c r="M20" s="1"/>
  <c r="L21"/>
  <c r="M21" s="1"/>
  <c r="B22"/>
  <c r="H4"/>
  <c r="H25" l="1"/>
  <c r="H24"/>
  <c r="H22"/>
  <c r="F59" i="6" l="1"/>
  <c r="F30"/>
  <c r="F29" s="1"/>
  <c r="F19"/>
  <c r="F14"/>
  <c r="F13" s="1"/>
  <c r="F12" s="1"/>
  <c r="F201"/>
  <c r="F200" s="1"/>
  <c r="F199" s="1"/>
  <c r="F193"/>
  <c r="F192" s="1"/>
  <c r="F189"/>
  <c r="F188" s="1"/>
  <c r="F187" s="1"/>
  <c r="F182"/>
  <c r="F181" s="1"/>
  <c r="F180" s="1"/>
  <c r="F178"/>
  <c r="F177" s="1"/>
  <c r="F176" s="1"/>
  <c r="F171"/>
  <c r="F170" s="1"/>
  <c r="F168"/>
  <c r="F167" s="1"/>
  <c r="F165"/>
  <c r="F164" s="1"/>
  <c r="F162"/>
  <c r="F161" s="1"/>
  <c r="F157"/>
  <c r="F156" s="1"/>
  <c r="F143" s="1"/>
  <c r="F130"/>
  <c r="F128"/>
  <c r="F126"/>
  <c r="F99"/>
  <c r="F98" s="1"/>
  <c r="F97" s="1"/>
  <c r="F96" s="1"/>
  <c r="F95" s="1"/>
  <c r="F84"/>
  <c r="F83" s="1"/>
  <c r="F82" s="1"/>
  <c r="F81" s="1"/>
  <c r="F79"/>
  <c r="F78" s="1"/>
  <c r="F77" s="1"/>
  <c r="F51"/>
  <c r="F38"/>
  <c r="F37" s="1"/>
  <c r="F36" s="1"/>
  <c r="F35" s="1"/>
  <c r="F27"/>
  <c r="F25"/>
  <c r="F9"/>
  <c r="F8" s="1"/>
  <c r="C28" i="5"/>
  <c r="B28"/>
  <c r="B26" i="3"/>
  <c r="B26" i="2"/>
  <c r="C26"/>
  <c r="E27" i="1"/>
  <c r="E26" s="1"/>
  <c r="D27"/>
  <c r="C27"/>
  <c r="C26" s="1"/>
  <c r="D26"/>
  <c r="E24"/>
  <c r="E23" s="1"/>
  <c r="D24"/>
  <c r="C24"/>
  <c r="C23" s="1"/>
  <c r="D23"/>
  <c r="E20"/>
  <c r="E19" s="1"/>
  <c r="C20"/>
  <c r="C19" s="1"/>
  <c r="D20"/>
  <c r="D19" s="1"/>
  <c r="E16"/>
  <c r="E15" s="1"/>
  <c r="E14" s="1"/>
  <c r="D15"/>
  <c r="D14" s="1"/>
  <c r="C15"/>
  <c r="C14" s="1"/>
  <c r="F191" i="6" l="1"/>
  <c r="F24"/>
  <c r="F18" s="1"/>
  <c r="F46"/>
  <c r="F40" s="1"/>
  <c r="E13" i="1"/>
  <c r="C13"/>
  <c r="F160" i="6"/>
  <c r="F159" s="1"/>
  <c r="F125"/>
  <c r="F175"/>
  <c r="D13" i="1"/>
  <c r="F124" i="6" l="1"/>
  <c r="F123" s="1"/>
  <c r="F112" s="1"/>
  <c r="F7"/>
  <c r="F4" i="7"/>
  <c r="I4" l="1"/>
  <c r="K4" l="1"/>
  <c r="T4" l="1"/>
  <c r="U4" l="1"/>
  <c r="F18"/>
  <c r="I18" s="1"/>
  <c r="K18" s="1"/>
  <c r="F7"/>
  <c r="I7" s="1"/>
  <c r="K7" s="1"/>
  <c r="F6"/>
  <c r="I6" s="1"/>
  <c r="K6" s="1"/>
  <c r="F8"/>
  <c r="I8" s="1"/>
  <c r="K8" s="1"/>
  <c r="F20"/>
  <c r="I20" s="1"/>
  <c r="K20" s="1"/>
  <c r="F9"/>
  <c r="I9" s="1"/>
  <c r="K9" s="1"/>
  <c r="F21"/>
  <c r="I21" s="1"/>
  <c r="K21" s="1"/>
  <c r="F19"/>
  <c r="I19" s="1"/>
  <c r="K19" s="1"/>
  <c r="F17"/>
  <c r="I17" s="1"/>
  <c r="K17" s="1"/>
  <c r="F16"/>
  <c r="I16" s="1"/>
  <c r="K16" s="1"/>
  <c r="F15"/>
  <c r="I15" s="1"/>
  <c r="K15" s="1"/>
  <c r="F14"/>
  <c r="I14" s="1"/>
  <c r="K14" s="1"/>
  <c r="F13"/>
  <c r="I13" s="1"/>
  <c r="K13" s="1"/>
  <c r="F12"/>
  <c r="I12" s="1"/>
  <c r="K12" s="1"/>
  <c r="F11"/>
  <c r="I11" s="1"/>
  <c r="K11" s="1"/>
  <c r="F10"/>
  <c r="I10" s="1"/>
  <c r="K10" s="1"/>
  <c r="F5"/>
  <c r="I5" s="1"/>
  <c r="T13" l="1"/>
  <c r="U13" s="1"/>
  <c r="I25"/>
  <c r="I24"/>
  <c r="I22"/>
  <c r="K5"/>
  <c r="T11"/>
  <c r="U11" s="1"/>
  <c r="T12"/>
  <c r="U12" s="1"/>
  <c r="T14"/>
  <c r="U14" s="1"/>
  <c r="T17"/>
  <c r="U17" s="1"/>
  <c r="T20"/>
  <c r="U20" s="1"/>
  <c r="T7"/>
  <c r="U7" s="1"/>
  <c r="T10"/>
  <c r="U10" s="1"/>
  <c r="T15"/>
  <c r="U15" s="1"/>
  <c r="T16"/>
  <c r="U16" s="1"/>
  <c r="T19"/>
  <c r="U19" s="1"/>
  <c r="T21"/>
  <c r="U21" s="1"/>
  <c r="T9"/>
  <c r="U9" s="1"/>
  <c r="T8"/>
  <c r="U8" s="1"/>
  <c r="T6"/>
  <c r="U6" s="1"/>
  <c r="T18"/>
  <c r="U18" s="1"/>
  <c r="F22"/>
  <c r="N14" l="1"/>
  <c r="N17"/>
  <c r="N10"/>
  <c r="N7"/>
  <c r="N18"/>
  <c r="N16"/>
  <c r="N15"/>
  <c r="N4"/>
  <c r="N20"/>
  <c r="N6"/>
  <c r="N13"/>
  <c r="N19"/>
  <c r="N12"/>
  <c r="N5"/>
  <c r="O5" s="1"/>
  <c r="N11"/>
  <c r="N21"/>
  <c r="N9"/>
  <c r="N8"/>
  <c r="K22"/>
  <c r="P5"/>
  <c r="K25"/>
  <c r="K24"/>
  <c r="T5"/>
  <c r="T22" l="1"/>
  <c r="U5"/>
  <c r="U22" s="1"/>
  <c r="O9"/>
  <c r="P9"/>
  <c r="O11"/>
  <c r="P11"/>
  <c r="O12"/>
  <c r="P12"/>
  <c r="O13"/>
  <c r="P13"/>
  <c r="O20"/>
  <c r="P20"/>
  <c r="O15"/>
  <c r="P15"/>
  <c r="O18"/>
  <c r="P18"/>
  <c r="O10"/>
  <c r="P10"/>
  <c r="O14"/>
  <c r="P14"/>
  <c r="Q5"/>
  <c r="R5" s="1"/>
  <c r="S5" s="1"/>
  <c r="O8"/>
  <c r="P8"/>
  <c r="O21"/>
  <c r="P21"/>
  <c r="O19"/>
  <c r="P19"/>
  <c r="O6"/>
  <c r="P6"/>
  <c r="P4"/>
  <c r="N22"/>
  <c r="P27" s="1"/>
  <c r="O4"/>
  <c r="O16"/>
  <c r="P16"/>
  <c r="O7"/>
  <c r="P7"/>
  <c r="O17"/>
  <c r="P17"/>
  <c r="Q17" l="1"/>
  <c r="R17" s="1"/>
  <c r="S17" s="1"/>
  <c r="Q7"/>
  <c r="R7" s="1"/>
  <c r="S7" s="1"/>
  <c r="Q16"/>
  <c r="R16" s="1"/>
  <c r="S16" s="1"/>
  <c r="P22"/>
  <c r="P24"/>
  <c r="P25"/>
  <c r="Q4"/>
  <c r="O22"/>
  <c r="Q6"/>
  <c r="R6" s="1"/>
  <c r="S6" s="1"/>
  <c r="Q19"/>
  <c r="R19" s="1"/>
  <c r="S19" s="1"/>
  <c r="Q21"/>
  <c r="R21" s="1"/>
  <c r="S21" s="1"/>
  <c r="Q8"/>
  <c r="R8" s="1"/>
  <c r="S8" s="1"/>
  <c r="Q14"/>
  <c r="R14" s="1"/>
  <c r="S14" s="1"/>
  <c r="Q10"/>
  <c r="R10" s="1"/>
  <c r="S10" s="1"/>
  <c r="Q18"/>
  <c r="R18" s="1"/>
  <c r="S18" s="1"/>
  <c r="Q15"/>
  <c r="R15" s="1"/>
  <c r="S15" s="1"/>
  <c r="Q20"/>
  <c r="R20" s="1"/>
  <c r="S20" s="1"/>
  <c r="Q13"/>
  <c r="R13" s="1"/>
  <c r="S13" s="1"/>
  <c r="Q12"/>
  <c r="R12" s="1"/>
  <c r="S12" s="1"/>
  <c r="Q11"/>
  <c r="R11" s="1"/>
  <c r="S11" s="1"/>
  <c r="Q9"/>
  <c r="R9" s="1"/>
  <c r="S9" s="1"/>
  <c r="Q22" l="1"/>
  <c r="R27" s="1"/>
  <c r="R4"/>
  <c r="R22" l="1"/>
  <c r="R25"/>
  <c r="R24"/>
  <c r="S4"/>
  <c r="F110" i="6" l="1"/>
  <c r="F109" s="1"/>
  <c r="F108" s="1"/>
  <c r="F102" s="1"/>
  <c r="F101" s="1"/>
  <c r="F205" l="1"/>
</calcChain>
</file>

<file path=xl/sharedStrings.xml><?xml version="1.0" encoding="utf-8"?>
<sst xmlns="http://schemas.openxmlformats.org/spreadsheetml/2006/main" count="2826" uniqueCount="358">
  <si>
    <t>Приложение  1</t>
  </si>
  <si>
    <t>к   Решению Совета  Черемшанского муниципального района № 65 от 16.12.2011 года</t>
  </si>
  <si>
    <t>тыс.руб.</t>
  </si>
  <si>
    <t>Наименование</t>
  </si>
  <si>
    <t>Код</t>
  </si>
  <si>
    <t>показателя</t>
  </si>
  <si>
    <t>ИСТОЧНИКИ ВНУТРЕННЕГО ФИНАНСИРОВАНИЯ</t>
  </si>
  <si>
    <t>ДЕФИЦИТА БЮДЖЕТА</t>
  </si>
  <si>
    <t>01 00 00 00 00 0000 000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</si>
  <si>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</si>
  <si>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</si>
  <si>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</si>
  <si>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</si>
  <si>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</si>
  <si>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01 05 02 00 00 0000 510</t>
  </si>
  <si>
    <t>Увеличение прочих  остатков денежных средств бюджетов</t>
  </si>
  <si>
    <t>01 05 02 01 00 0000 510</t>
  </si>
  <si>
    <t xml:space="preserve">Увеличение прочих  остатков денежных средств бюджетов мунципальных районов </t>
  </si>
  <si>
    <t>01 05 02 01 05 0000 510</t>
  </si>
  <si>
    <t>Уменьшение остатков средств бюджета</t>
  </si>
  <si>
    <t>01 05 00 00 00 0000 600</t>
  </si>
  <si>
    <t>Уменьшение прочих остатков средств бюджетов</t>
  </si>
  <si>
    <t>01 05 02 00 00 0000 600</t>
  </si>
  <si>
    <t>Уменьшение прочих  остатков денежных средств бюджетов</t>
  </si>
  <si>
    <t>01 05 02 01 00 0000 610</t>
  </si>
  <si>
    <t xml:space="preserve">Уменьшение прочих  остатков денежных средств бюджетов мунципальных районов </t>
  </si>
  <si>
    <t>01 05 02 01 05 0000 610</t>
  </si>
  <si>
    <t>Исполнение государственных и муниципальных гарантий в валюте Российской Федерации</t>
  </si>
  <si>
    <t xml:space="preserve">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</si>
  <si>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</si>
  <si>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01 06 04 00 00 0000 800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</si>
  <si>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</si>
  <si>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01 06 04 00 01 0000 810</t>
  </si>
  <si>
    <t>Бюджетные кредиты, предоставленные внутри страны в валюте Российской Федерации</t>
  </si>
  <si>
    <t xml:space="preserve"> 01 06 05 00 00 0000 000</t>
  </si>
  <si>
    <t>Возврат бюджетных кредитов, предоставленных внутри страны в валюте Российской Федерации</t>
  </si>
  <si>
    <t xml:space="preserve"> 01 06 05 00 00 0000 600</t>
  </si>
  <si>
    <t>Возврат бюджетных кредитов, предоставленных юридическим лицам из  бюджета муниицпального района в валюте Российской Федерации</t>
  </si>
  <si>
    <t xml:space="preserve"> 01 06 05 01 05 0000 640</t>
  </si>
  <si>
    <t>Председатель</t>
  </si>
  <si>
    <t>ФБП Черемшанского муниципального района</t>
  </si>
  <si>
    <t>Ш.Ф.Гатин</t>
  </si>
  <si>
    <t xml:space="preserve">к   Решению Совета  Черемшанского муниципального района № 65 от 16.12.2011 года  </t>
  </si>
  <si>
    <t>(тыс.руб.)</t>
  </si>
  <si>
    <t>Наименование СП</t>
  </si>
  <si>
    <t xml:space="preserve">Беркетключевское </t>
  </si>
  <si>
    <t>Верхнекаменское</t>
  </si>
  <si>
    <t>Ивашкинское</t>
  </si>
  <si>
    <t>Карамышевское</t>
  </si>
  <si>
    <t>Кутеминское</t>
  </si>
  <si>
    <t xml:space="preserve">Лашманское </t>
  </si>
  <si>
    <t>Мордоафонькинское</t>
  </si>
  <si>
    <t>Нижнекаменское</t>
  </si>
  <si>
    <t>Нижнекармалкинское</t>
  </si>
  <si>
    <t>Новоильмовское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</si>
  <si>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</si>
  <si>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</si>
  <si>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</si>
  <si>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</si>
  <si>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</si>
  <si>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</si>
  <si>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</si>
  <si>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Всего</t>
  </si>
  <si>
    <t>Сумма</t>
  </si>
  <si>
    <t>Приложение 13</t>
  </si>
  <si>
    <t>Черемшанское</t>
  </si>
  <si>
    <t>Приложение 11</t>
  </si>
  <si>
    <t xml:space="preserve">к   Решению Совета  Черемшанского муниципального района № 12 от 17.12.2010 года  </t>
  </si>
  <si>
    <t>Всего,</t>
  </si>
  <si>
    <t>в том числе поступления из средств поступивших от Республики Татарстан</t>
  </si>
  <si>
    <t>Приложение   7</t>
  </si>
  <si>
    <t xml:space="preserve">к  Решению Совета  Черемшанского муниципального района № 65 от 16.12.2011 года 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</si>
  <si>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</si>
  <si>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</si>
  <si>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</si>
  <si>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</si>
  <si>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</si>
  <si>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</si>
  <si>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</si>
  <si>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</si>
  <si>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</si>
  <si>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</si>
  <si>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</si>
  <si>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</si>
  <si>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</si>
  <si>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</si>
  <si>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</si>
  <si>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</si>
  <si>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Центральный аппарат </t>
  </si>
  <si>
    <t>002 04 00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</si>
  <si>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</si>
  <si>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</si>
  <si>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</si>
  <si>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</si>
  <si>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</si>
  <si>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Межбюджетные трансферты</t>
  </si>
  <si>
    <t>521 00 00</t>
  </si>
  <si>
    <t>Субвенции на реализацию государственных полномочий в области государственной молодежной политики</t>
  </si>
  <si>
    <t>521 02 04</t>
  </si>
  <si>
    <t>Субвенции на реализацию государственных полномочий в области образования</t>
  </si>
  <si>
    <t>521 02 05</t>
  </si>
  <si>
    <t>Обеспечение деятельности финансовых,налоговых и таможенных органов и органов надзора</t>
  </si>
  <si>
    <t>06</t>
  </si>
  <si>
    <t>Резервные фонды</t>
  </si>
  <si>
    <t>11</t>
  </si>
  <si>
    <t>070 00 00</t>
  </si>
  <si>
    <t>Реервные фонды органов местного самоуправления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</si>
  <si>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</si>
  <si>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</si>
  <si>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</si>
  <si>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</si>
  <si>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</si>
  <si>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</si>
  <si>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>Уплата налога на имущество организаций и земельного налога</t>
  </si>
  <si>
    <t>002 95 00</t>
  </si>
  <si>
    <t>Обеспечение деятельности подведомственных учреждений</t>
  </si>
  <si>
    <t>002 99 00</t>
  </si>
  <si>
    <t>Выполнение других обязательств государства</t>
  </si>
  <si>
    <t>092 03 00</t>
  </si>
  <si>
    <t>440 00 00</t>
  </si>
  <si>
    <t>521 02 06</t>
  </si>
  <si>
    <t>521 02 07</t>
  </si>
  <si>
    <t>521 02 13</t>
  </si>
  <si>
    <t>521 02 14</t>
  </si>
  <si>
    <t xml:space="preserve">Национальная оборона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</si>
  <si>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</si>
  <si>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</si>
  <si>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</si>
  <si>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</si>
  <si>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</si>
  <si>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</si>
  <si>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</si>
  <si>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</si>
  <si>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 xml:space="preserve">04 </t>
  </si>
  <si>
    <t>08</t>
  </si>
  <si>
    <t xml:space="preserve">Охрана окружающей среды  </t>
  </si>
  <si>
    <t>Охрана объектов растительного и животного мира и среды их обитания</t>
  </si>
  <si>
    <t>Охрана объектов растительного и животного мира и среды их обитания  состояние окружающей среды и природопользования</t>
  </si>
  <si>
    <t>410 00 00</t>
  </si>
  <si>
    <t>Природохранные мероприятия</t>
  </si>
  <si>
    <t>410 01 00</t>
  </si>
  <si>
    <t>Программа природохранных мероприятий муниципального района</t>
  </si>
  <si>
    <t>410 01 03</t>
  </si>
  <si>
    <t>Образование</t>
  </si>
  <si>
    <t>07</t>
  </si>
  <si>
    <t>Дошкольное образование</t>
  </si>
  <si>
    <t xml:space="preserve">000 00 00 </t>
  </si>
  <si>
    <t>Детские дошкольные учреждения</t>
  </si>
  <si>
    <t>420 00 00</t>
  </si>
  <si>
    <t>420 99 00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</si>
  <si>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</si>
  <si>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</si>
  <si>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</si>
  <si>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</si>
  <si>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</si>
  <si>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</si>
  <si>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</si>
  <si>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</si>
  <si>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</si>
  <si>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</si>
  <si>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Образовательные учреждения дополнительного образования детей туристско-краеведческой ,эколого-биологической ,военно-патриотической,социально-педагогической ,социально-экономической ,естественно-научной,технической и культурологической направленностии многопрофильные образовательные учреждения дополнительного образования детей</t>
  </si>
  <si>
    <t>423 99 10</t>
  </si>
  <si>
    <t>Оьразовательные учреждения дополнительного образования детей художественно-эстетической направленности</t>
  </si>
  <si>
    <t>423 99 20</t>
  </si>
  <si>
    <t>Детско-юношеские спортивные школы</t>
  </si>
  <si>
    <t>423 99 30</t>
  </si>
  <si>
    <t>Субвенции на обеспечение госгарантий прав граждан на получение общего образования, а таже доп.образования в общеобразовательных учреждениях</t>
  </si>
  <si>
    <t>521 02 08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</si>
  <si>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</si>
  <si>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</si>
  <si>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</si>
  <si>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</si>
  <si>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</si>
  <si>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</si>
  <si>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</si>
  <si>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435 99 00</t>
  </si>
  <si>
    <t>Мероприятия в области образования</t>
  </si>
  <si>
    <t>436 00 00</t>
  </si>
  <si>
    <t>Проведение мероприятий для детей и молодежи</t>
  </si>
  <si>
    <t>436 09 00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</si>
  <si>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</si>
  <si>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</si>
  <si>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</si>
  <si>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Реализация государственных полномочий по осуществлению информационного обеспечения образовательных учреждений</t>
  </si>
  <si>
    <t>521 02 10</t>
  </si>
  <si>
    <t>Культура, кинематография и средства массовой информации</t>
  </si>
  <si>
    <t xml:space="preserve">00 </t>
  </si>
  <si>
    <t>Культура</t>
  </si>
  <si>
    <t xml:space="preserve"> Учреждения культуры и мероприятия в сфере культуры и кинематографии    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</si>
  <si>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</si>
  <si>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</si>
  <si>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</si>
  <si>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</si>
  <si>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</si>
  <si>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</si>
  <si>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</si>
  <si>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Другие вопросы в области культуры,кинематографии</t>
  </si>
  <si>
    <t>Здравоохранение</t>
  </si>
  <si>
    <t>Санитарно-эпидимеологическое благополучие</t>
  </si>
  <si>
    <t>Реализация государственных полномочий по проведению противоэпедимических мероприятий,осуществляемых в целях предупреждения,ограничения распространения и ликвидации инфекционных болезней,в том числе проведению профилактических прививок по эпидимическим показаниям,дезинфекции,дезинсекции и дератизации в очагах инфекционных заболевания,а также на территориях и помещениях , где имеются и сохраняются условия для возникновения и распространения инфекционных заболеваний</t>
  </si>
  <si>
    <t>521 02 11</t>
  </si>
  <si>
    <t>Социальная политика</t>
  </si>
  <si>
    <t>10</t>
  </si>
  <si>
    <t>505 85 00</t>
  </si>
  <si>
    <t>Массовый спорт</t>
  </si>
  <si>
    <t>512 97 00</t>
  </si>
  <si>
    <t>Межбюджетные трансферты бюджетам субъектов РФ и  муниципальных образований общего характера</t>
  </si>
  <si>
    <t>14</t>
  </si>
  <si>
    <t>Дотации на выравнивание бюджетной обеспеченности муниципальных образований</t>
  </si>
  <si>
    <t>Выравнивание бюджетной обеспеченности</t>
  </si>
  <si>
    <t>516 00 00</t>
  </si>
  <si>
    <t>Иные дотации</t>
  </si>
  <si>
    <t>Дотации</t>
  </si>
  <si>
    <t>517 00 00</t>
  </si>
  <si>
    <t>Поддержка мер по обеспечению сбалансированности бюджетов</t>
  </si>
  <si>
    <t>517 02 00</t>
  </si>
  <si>
    <t>Председатель ФБП Черемшанского муниципального района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</si>
  <si>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</si>
  <si>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</si>
  <si>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</si>
  <si>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</si>
  <si>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</si>
  <si>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</si>
  <si>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Учреждения культуры и мероприятия в сфере культуры и кинематографии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</si>
  <si>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</si>
  <si>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</si>
  <si>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</si>
  <si>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</si>
  <si>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001 51 18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</si>
  <si>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</si>
  <si>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521 02 17</t>
  </si>
  <si>
    <t>521 02 00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</si>
  <si>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</si>
  <si>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Обеспечение деятельсти подведомственных учреждений</t>
  </si>
  <si>
    <t>420 80 05</t>
  </si>
  <si>
    <t xml:space="preserve">Государственная программа «Управление государственными финансами Республики Татарстан на 2014 – 2016 годы»  </t>
  </si>
  <si>
    <t>421 80 05</t>
  </si>
  <si>
    <t>422 80 05</t>
  </si>
  <si>
    <t>423 80 05</t>
  </si>
  <si>
    <t>432 80 05</t>
  </si>
  <si>
    <t>600</t>
  </si>
  <si>
    <t>Субсидии бюджетным учреждениям</t>
  </si>
  <si>
    <t>Социальное обеспечение</t>
  </si>
  <si>
    <t>Оказание других видов социальной помощи</t>
  </si>
  <si>
    <t>Субвенции бюджетам сельских поселений на реализацию полномочий по осуществлению первичного воинского учета на территориях, на которых отсутствуют  военкоматы  на  плановый период 2015-2016 годов</t>
  </si>
  <si>
    <t xml:space="preserve">Источники финансирования дефицита на  2014  год и на плановый период 2015 и 2016 годов </t>
  </si>
  <si>
    <t>Субвенции бюджетам сельских поселений на реализацию полномочий по осуществлению первичного воинского учета на территориях, на которых отсутствуют  военкоматы  на  2014 год</t>
  </si>
  <si>
    <t>Дотации бюджетам поселений на поддержку мер по обеспечению сбалансированности бюджетов на  2014  год</t>
  </si>
  <si>
    <t>Дотации бюджетам поселений на выравнивание уровня бюджетной обеспеченности поселений на  2014  год</t>
  </si>
  <si>
    <t>Распределение бюджетных ассигнований по разделам и подразделам,целевым статьям и видам расходов классификации расходов районного бюджета на 2014 год</t>
  </si>
  <si>
    <t>Черемшанский район</t>
  </si>
  <si>
    <t>Наименование поселения</t>
  </si>
  <si>
    <t>Численность</t>
  </si>
  <si>
    <t>Закрепл. доходы</t>
  </si>
  <si>
    <t>Отриц. трансферт в бюджет РТ</t>
  </si>
  <si>
    <t>Дотация из районного фонда финансовой поддержки поселений за счет средств РТ по числ.</t>
  </si>
  <si>
    <t>Доходы после ФФПП</t>
  </si>
  <si>
    <t>Расходы</t>
  </si>
  <si>
    <t>Дефицит до помощи за счет бюджета РТ</t>
  </si>
  <si>
    <t>Дефицит после помощи за счет средств РТ</t>
  </si>
  <si>
    <t>Субв.на межмуниципальные нужды (здравоохр.)</t>
  </si>
  <si>
    <t>Дефицит после изъятия субвенции</t>
  </si>
  <si>
    <t>ИБР</t>
  </si>
  <si>
    <t>Уровень расчетной бюджетной обеспеченности</t>
  </si>
  <si>
    <t>Дотация из Районного фонда финансовой поддержки поселений по бюджетной обеспеченности</t>
  </si>
  <si>
    <t>Итого дотация из районного фонда финансовой поддержки поселений</t>
  </si>
  <si>
    <t>Дефицит после дотаций из Районного фонда финансовой поддержки поселений</t>
  </si>
  <si>
    <t>Дотация из районного фонда сбалансированности бюджетов поселений</t>
  </si>
  <si>
    <t>Конечный дефицит</t>
  </si>
  <si>
    <t>Доля дефицита в доходах</t>
  </si>
  <si>
    <t>Дотация из района</t>
  </si>
  <si>
    <t>Минимальный уровень выравнивания</t>
  </si>
  <si>
    <t>Беркет  Ключ</t>
  </si>
  <si>
    <t>В.Каменка</t>
  </si>
  <si>
    <t>Ивашкено</t>
  </si>
  <si>
    <t>Карамыш</t>
  </si>
  <si>
    <t>Кутема</t>
  </si>
  <si>
    <t>Кутуш</t>
  </si>
  <si>
    <t>Лашманка</t>
  </si>
  <si>
    <t>М.Афонькино</t>
  </si>
  <si>
    <t>Н.Ильмово</t>
  </si>
  <si>
    <t>Н.Кадеево</t>
  </si>
  <si>
    <t>Н.Каменка</t>
  </si>
  <si>
    <t>Н.Кармалка</t>
  </si>
  <si>
    <t>Ст.Кадеево</t>
  </si>
  <si>
    <t>Ст.Утямыш</t>
  </si>
  <si>
    <t>Туметкино</t>
  </si>
  <si>
    <t>Ульяновка</t>
  </si>
  <si>
    <t>Черемшан</t>
  </si>
  <si>
    <t>Шешминка</t>
  </si>
  <si>
    <t>ИТОГО</t>
  </si>
  <si>
    <t>Профицит профицитных</t>
  </si>
  <si>
    <t>Дефицит дефицитных</t>
  </si>
  <si>
    <t>Муниципальный район</t>
  </si>
  <si>
    <t>Черемшанский муницпальный район  2013 год.</t>
  </si>
  <si>
    <t>Субвенции на переданные полномочия</t>
  </si>
  <si>
    <t>Всего безвозмездных перечислений</t>
  </si>
  <si>
    <t>Всего "Доходы"</t>
  </si>
  <si>
    <t>Всего расходов</t>
  </si>
  <si>
    <t>Местные</t>
  </si>
  <si>
    <t>Ведомство</t>
  </si>
  <si>
    <t xml:space="preserve">Совет Черемшанского мунципального района </t>
  </si>
  <si>
    <t>013</t>
  </si>
  <si>
    <t>103</t>
  </si>
  <si>
    <t>076</t>
  </si>
  <si>
    <t>058</t>
  </si>
  <si>
    <t>112</t>
  </si>
  <si>
    <t>Муниципальное казенное учреждение "Управление гражданской защиты Черемшанского муниципального района"</t>
  </si>
  <si>
    <t xml:space="preserve">Исполнительный комитет Черемшанского мунципального района </t>
  </si>
  <si>
    <t xml:space="preserve">Контрольно-счетная палата Черемшанского муниципального района </t>
  </si>
  <si>
    <t>Муниципальное учреждение"Отдел образования" Исполнительного комитета Черемшанского мунципального района Республики Татарстан"</t>
  </si>
  <si>
    <t>Муниципальное учреждение"Отдел по делам молодежи и спорта" Исполкома Черемшанского мунципального района Республики Татарстан</t>
  </si>
  <si>
    <t>169</t>
  </si>
  <si>
    <t>Муниципальное учреждение"Отдел культуры" Исполнительного комитета Черемшанского мунципального района Республики Татарстан"</t>
  </si>
  <si>
    <t>Образовательные учреждения дополнительного образования детей художественно-эстетической направленности</t>
  </si>
  <si>
    <t>Палата имущественных и земельных отношений Черемшанского мунципального района Республики Татарстан</t>
  </si>
  <si>
    <t>Финансово-бюджетная палата</t>
  </si>
  <si>
    <t>Cубсидии бюджетным учреждениям</t>
  </si>
  <si>
    <t>521 02 15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</si>
  <si>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</si>
  <si>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165</t>
  </si>
  <si>
    <t>Национальная экономика</t>
  </si>
  <si>
    <t>Сельское хозяйство и рыболовство</t>
  </si>
  <si>
    <t>05</t>
  </si>
  <si>
    <t>Госполномочия в сфере организаций проведения мероприятий по предупреждению и ликвидации болезней животных , их лечению, защите населения от болезней, общих для человека и животных</t>
  </si>
  <si>
    <t>521 02 16</t>
  </si>
  <si>
    <t xml:space="preserve">05 </t>
  </si>
  <si>
    <t>Физическая культура и спорт</t>
  </si>
  <si>
    <t>Лашманское</t>
  </si>
  <si>
    <t>Дорожное хозяйство (дорожные фонды)</t>
  </si>
  <si>
    <t>315 00 00</t>
  </si>
  <si>
    <t>Дорожное хозяйство</t>
  </si>
  <si>
    <t>315 05 00</t>
  </si>
  <si>
    <t>Программа дорожных работ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</si>
  <si>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</si>
  <si>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образования"</t>
  </si>
  <si>
    <t>300</t>
  </si>
  <si>
    <t>Социальное обеспечение и иные выплаты населению</t>
  </si>
  <si>
    <t>520 10 10</t>
  </si>
  <si>
    <t>516 80 06</t>
  </si>
  <si>
    <t>516 80 04</t>
  </si>
  <si>
    <t xml:space="preserve">Выравнивание бюджетной обеспеченности и предоставление иных межбюджетных трансфертов бюджетам поселений </t>
  </si>
  <si>
    <t>516 08 00</t>
  </si>
  <si>
    <t>517 80 04</t>
  </si>
  <si>
    <t xml:space="preserve">14 </t>
  </si>
  <si>
    <t xml:space="preserve">02 </t>
  </si>
  <si>
    <t>Приложение 15</t>
  </si>
  <si>
    <t>Приложение 16</t>
  </si>
  <si>
    <t xml:space="preserve">Ведомственная   структура расходов  бюджета на 2014 год </t>
  </si>
  <si>
    <t>Приложение   9</t>
  </si>
  <si>
    <t>Приложение 17</t>
  </si>
  <si>
    <t>Субвенции бюджетам сельских поселений на реализацию полномочий по государственной регистрации актов гражданского состояния на  2014 год</t>
  </si>
  <si>
    <t>Всего:</t>
  </si>
  <si>
    <t>Субвенции бюджетам сельских поселений на реализацию полномочий по государственной регистрации актов гражданского состояния на  плановый период 2015-2016 годов</t>
  </si>
  <si>
    <t>Приложение 18</t>
  </si>
  <si>
    <t xml:space="preserve">Государственная регистрация актов гражданского состояния </t>
  </si>
  <si>
    <t xml:space="preserve">001 51 19 </t>
  </si>
  <si>
    <t>Программа развития физической культуры и спорта Черемшанском муниципальном районе на 2013-2015 годы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</si>
</sst>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.000"/>
    <numFmt numFmtId="167" formatCode="0.000"/>
    <numFmt numFmtId="168" formatCode="#,##0.0000"/>
  </numFmts>
  <fonts count="1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0"/>
      <color indexed="8"/>
      <name val="Arial Cyr"/>
      <family val="2"/>
      <charset val="204"/>
    </font>
    <font>
      <b/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164" fontId="0" fillId="0" borderId="0" xfId="0" applyNumberFormat="1"/>
    <xf numFmtId="0" fontId="4" fillId="0" borderId="0" xfId="0" applyFont="1" applyBorder="1" applyAlignment="1">
      <alignment horizontal="center"/>
    </xf>
    <xf numFmtId="165" fontId="5" fillId="0" borderId="0" xfId="0" applyNumberFormat="1" applyFont="1"/>
    <xf numFmtId="165" fontId="0" fillId="0" borderId="0" xfId="0" applyNumberFormat="1"/>
    <xf numFmtId="2" fontId="6" fillId="0" borderId="0" xfId="0" applyNumberFormat="1" applyFont="1" applyAlignment="1">
      <alignment horizontal="justify" wrapText="1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4" fontId="7" fillId="0" borderId="0" xfId="0" applyNumberFormat="1" applyFont="1"/>
    <xf numFmtId="4" fontId="0" fillId="0" borderId="0" xfId="0" applyNumberFormat="1"/>
    <xf numFmtId="0" fontId="1" fillId="0" borderId="0" xfId="0" applyFont="1" applyBorder="1" applyAlignment="1">
      <alignment horizontal="justify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right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center" vertical="top" wrapText="1"/>
    </xf>
    <xf numFmtId="165" fontId="8" fillId="0" borderId="0" xfId="0" applyNumberFormat="1" applyFont="1" applyAlignment="1">
      <alignment horizontal="right"/>
    </xf>
    <xf numFmtId="0" fontId="6" fillId="0" borderId="0" xfId="0" applyFont="1" applyAlignment="1">
      <alignment horizontal="justify" wrapText="1"/>
    </xf>
    <xf numFmtId="165" fontId="6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justify" vertical="top" wrapText="1"/>
    </xf>
    <xf numFmtId="165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2" fontId="5" fillId="0" borderId="0" xfId="0" applyNumberFormat="1" applyFont="1" applyBorder="1"/>
    <xf numFmtId="4" fontId="5" fillId="0" borderId="0" xfId="0" applyNumberFormat="1" applyFont="1" applyBorder="1"/>
    <xf numFmtId="0" fontId="0" fillId="0" borderId="0" xfId="0" applyFill="1" applyAlignment="1">
      <alignment horizontal="right" wrapText="1"/>
    </xf>
    <xf numFmtId="0" fontId="5" fillId="0" borderId="8" xfId="0" applyFont="1" applyBorder="1" applyAlignment="1">
      <alignment horizontal="center"/>
    </xf>
    <xf numFmtId="2" fontId="5" fillId="0" borderId="0" xfId="0" applyNumberFormat="1" applyFont="1"/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/>
    <xf numFmtId="164" fontId="9" fillId="0" borderId="0" xfId="0" applyNumberFormat="1" applyFont="1"/>
    <xf numFmtId="164" fontId="5" fillId="0" borderId="0" xfId="0" applyNumberFormat="1" applyFont="1" applyBorder="1"/>
    <xf numFmtId="0" fontId="5" fillId="0" borderId="0" xfId="0" applyFont="1" applyAlignment="1">
      <alignment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4" fontId="7" fillId="0" borderId="0" xfId="0" applyNumberFormat="1" applyFont="1"/>
    <xf numFmtId="165" fontId="5" fillId="0" borderId="0" xfId="0" applyNumberFormat="1" applyFont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left"/>
    </xf>
    <xf numFmtId="4" fontId="7" fillId="0" borderId="18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left"/>
    </xf>
    <xf numFmtId="0" fontId="8" fillId="0" borderId="16" xfId="0" applyFont="1" applyFill="1" applyBorder="1"/>
    <xf numFmtId="49" fontId="4" fillId="0" borderId="17" xfId="0" applyNumberFormat="1" applyFont="1" applyFill="1" applyBorder="1" applyAlignment="1">
      <alignment wrapText="1"/>
    </xf>
    <xf numFmtId="49" fontId="7" fillId="0" borderId="17" xfId="0" applyNumberFormat="1" applyFont="1" applyFill="1" applyBorder="1"/>
    <xf numFmtId="4" fontId="7" fillId="0" borderId="18" xfId="0" applyNumberFormat="1" applyFont="1" applyFill="1" applyBorder="1"/>
    <xf numFmtId="49" fontId="1" fillId="0" borderId="17" xfId="0" applyNumberFormat="1" applyFont="1" applyFill="1" applyBorder="1" applyAlignment="1">
      <alignment wrapText="1"/>
    </xf>
    <xf numFmtId="49" fontId="1" fillId="0" borderId="17" xfId="0" applyNumberFormat="1" applyFont="1" applyFill="1" applyBorder="1"/>
    <xf numFmtId="4" fontId="1" fillId="0" borderId="18" xfId="0" applyNumberFormat="1" applyFont="1" applyFill="1" applyBorder="1"/>
    <xf numFmtId="0" fontId="1" fillId="0" borderId="16" xfId="0" applyFont="1" applyFill="1" applyBorder="1" applyAlignment="1">
      <alignment vertical="top" wrapText="1"/>
    </xf>
    <xf numFmtId="4" fontId="0" fillId="0" borderId="18" xfId="0" applyNumberFormat="1" applyFill="1" applyBorder="1"/>
    <xf numFmtId="0" fontId="4" fillId="0" borderId="16" xfId="0" applyFont="1" applyFill="1" applyBorder="1" applyAlignment="1">
      <alignment vertical="top" wrapText="1"/>
    </xf>
    <xf numFmtId="4" fontId="4" fillId="0" borderId="18" xfId="0" applyNumberFormat="1" applyFont="1" applyFill="1" applyBorder="1"/>
    <xf numFmtId="49" fontId="0" fillId="0" borderId="17" xfId="0" applyNumberFormat="1" applyFill="1" applyBorder="1"/>
    <xf numFmtId="0" fontId="7" fillId="0" borderId="16" xfId="0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wrapText="1"/>
    </xf>
    <xf numFmtId="0" fontId="8" fillId="0" borderId="16" xfId="0" applyFont="1" applyBorder="1" applyAlignment="1">
      <alignment horizontal="justify" wrapText="1"/>
    </xf>
    <xf numFmtId="49" fontId="0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" fontId="0" fillId="0" borderId="18" xfId="0" applyNumberFormat="1" applyFont="1" applyFill="1" applyBorder="1"/>
    <xf numFmtId="0" fontId="8" fillId="0" borderId="16" xfId="0" applyFont="1" applyBorder="1" applyAlignment="1">
      <alignment wrapText="1"/>
    </xf>
    <xf numFmtId="0" fontId="7" fillId="2" borderId="16" xfId="0" applyFont="1" applyFill="1" applyBorder="1" applyAlignment="1">
      <alignment vertical="top" wrapText="1"/>
    </xf>
    <xf numFmtId="49" fontId="7" fillId="2" borderId="17" xfId="0" applyNumberFormat="1" applyFont="1" applyFill="1" applyBorder="1" applyAlignment="1">
      <alignment wrapText="1"/>
    </xf>
    <xf numFmtId="49" fontId="7" fillId="2" borderId="17" xfId="0" applyNumberFormat="1" applyFont="1" applyFill="1" applyBorder="1"/>
    <xf numFmtId="4" fontId="7" fillId="2" borderId="18" xfId="0" applyNumberFormat="1" applyFont="1" applyFill="1" applyBorder="1"/>
    <xf numFmtId="0" fontId="6" fillId="2" borderId="16" xfId="0" applyFont="1" applyFill="1" applyBorder="1" applyAlignment="1">
      <alignment horizontal="left" wrapText="1"/>
    </xf>
    <xf numFmtId="49" fontId="7" fillId="2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49" fontId="0" fillId="0" borderId="16" xfId="0" applyNumberFormat="1" applyBorder="1" applyAlignment="1">
      <alignment wrapText="1"/>
    </xf>
    <xf numFmtId="0" fontId="1" fillId="0" borderId="16" xfId="0" applyNumberFormat="1" applyFont="1" applyFill="1" applyBorder="1" applyAlignment="1">
      <alignment horizontal="justify" vertical="center" wrapText="1"/>
    </xf>
    <xf numFmtId="49" fontId="0" fillId="0" borderId="17" xfId="0" applyNumberFormat="1" applyFont="1" applyFill="1" applyBorder="1"/>
    <xf numFmtId="0" fontId="4" fillId="2" borderId="16" xfId="0" applyFont="1" applyFill="1" applyBorder="1" applyAlignment="1">
      <alignment vertical="top" wrapText="1"/>
    </xf>
    <xf numFmtId="49" fontId="7" fillId="2" borderId="17" xfId="0" applyNumberFormat="1" applyFont="1" applyFill="1" applyBorder="1" applyAlignment="1"/>
    <xf numFmtId="4" fontId="7" fillId="2" borderId="18" xfId="0" applyNumberFormat="1" applyFont="1" applyFill="1" applyBorder="1" applyAlignment="1"/>
    <xf numFmtId="0" fontId="8" fillId="0" borderId="16" xfId="0" applyNumberFormat="1" applyFont="1" applyFill="1" applyBorder="1" applyAlignment="1">
      <alignment wrapText="1"/>
    </xf>
    <xf numFmtId="0" fontId="10" fillId="2" borderId="16" xfId="0" applyFont="1" applyFill="1" applyBorder="1" applyAlignment="1">
      <alignment horizontal="left" wrapText="1"/>
    </xf>
    <xf numFmtId="0" fontId="0" fillId="3" borderId="0" xfId="0" applyFill="1" applyAlignment="1">
      <alignment vertical="top" wrapText="1"/>
    </xf>
    <xf numFmtId="0" fontId="0" fillId="3" borderId="0" xfId="0" applyFill="1"/>
    <xf numFmtId="4" fontId="0" fillId="3" borderId="0" xfId="0" applyNumberFormat="1" applyFill="1"/>
    <xf numFmtId="0" fontId="5" fillId="0" borderId="0" xfId="0" applyFont="1" applyAlignment="1">
      <alignment vertical="top" wrapText="1"/>
    </xf>
    <xf numFmtId="49" fontId="5" fillId="0" borderId="0" xfId="0" applyNumberFormat="1" applyFont="1"/>
    <xf numFmtId="4" fontId="5" fillId="0" borderId="0" xfId="0" applyNumberFormat="1" applyFont="1" applyFill="1"/>
    <xf numFmtId="0" fontId="0" fillId="0" borderId="16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wrapText="1"/>
    </xf>
    <xf numFmtId="0" fontId="0" fillId="3" borderId="16" xfId="0" applyFont="1" applyFill="1" applyBorder="1" applyAlignment="1">
      <alignment vertical="top" wrapText="1"/>
    </xf>
    <xf numFmtId="49" fontId="0" fillId="3" borderId="17" xfId="0" applyNumberFormat="1" applyFont="1" applyFill="1" applyBorder="1"/>
    <xf numFmtId="4" fontId="0" fillId="3" borderId="18" xfId="0" applyNumberFormat="1" applyFont="1" applyFill="1" applyBorder="1"/>
    <xf numFmtId="0" fontId="4" fillId="0" borderId="17" xfId="0" applyFont="1" applyFill="1" applyBorder="1"/>
    <xf numFmtId="0" fontId="0" fillId="0" borderId="17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7" xfId="0" applyFont="1" applyBorder="1"/>
    <xf numFmtId="165" fontId="3" fillId="0" borderId="17" xfId="0" applyNumberFormat="1" applyFont="1" applyBorder="1"/>
    <xf numFmtId="166" fontId="3" fillId="0" borderId="17" xfId="0" applyNumberFormat="1" applyFont="1" applyBorder="1"/>
    <xf numFmtId="165" fontId="0" fillId="0" borderId="17" xfId="0" applyNumberFormat="1" applyBorder="1"/>
    <xf numFmtId="167" fontId="0" fillId="0" borderId="17" xfId="0" applyNumberFormat="1" applyBorder="1"/>
    <xf numFmtId="164" fontId="0" fillId="0" borderId="17" xfId="0" applyNumberFormat="1" applyBorder="1"/>
    <xf numFmtId="4" fontId="0" fillId="0" borderId="17" xfId="0" applyNumberFormat="1" applyBorder="1"/>
    <xf numFmtId="0" fontId="4" fillId="0" borderId="17" xfId="0" applyFont="1" applyBorder="1"/>
    <xf numFmtId="165" fontId="4" fillId="0" borderId="17" xfId="0" applyNumberFormat="1" applyFont="1" applyBorder="1"/>
    <xf numFmtId="166" fontId="4" fillId="0" borderId="17" xfId="0" applyNumberFormat="1" applyFont="1" applyBorder="1"/>
    <xf numFmtId="165" fontId="4" fillId="0" borderId="17" xfId="0" applyNumberFormat="1" applyFont="1" applyBorder="1" applyAlignment="1">
      <alignment horizontal="right"/>
    </xf>
    <xf numFmtId="164" fontId="4" fillId="0" borderId="17" xfId="0" applyNumberFormat="1" applyFont="1" applyBorder="1"/>
    <xf numFmtId="0" fontId="0" fillId="0" borderId="17" xfId="0" applyBorder="1"/>
    <xf numFmtId="3" fontId="0" fillId="0" borderId="17" xfId="0" applyNumberFormat="1" applyFill="1" applyBorder="1"/>
    <xf numFmtId="3" fontId="0" fillId="0" borderId="17" xfId="0" applyNumberFormat="1" applyBorder="1"/>
    <xf numFmtId="0" fontId="7" fillId="0" borderId="0" xfId="0" applyFont="1"/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6" xfId="0" applyFont="1" applyBorder="1"/>
    <xf numFmtId="168" fontId="3" fillId="0" borderId="17" xfId="0" applyNumberFormat="1" applyFont="1" applyBorder="1"/>
    <xf numFmtId="4" fontId="3" fillId="0" borderId="17" xfId="0" applyNumberFormat="1" applyFont="1" applyBorder="1"/>
    <xf numFmtId="4" fontId="3" fillId="0" borderId="17" xfId="0" applyNumberFormat="1" applyFont="1" applyFill="1" applyBorder="1"/>
    <xf numFmtId="165" fontId="0" fillId="0" borderId="18" xfId="0" applyNumberFormat="1" applyBorder="1"/>
    <xf numFmtId="0" fontId="4" fillId="0" borderId="19" xfId="0" applyFont="1" applyFill="1" applyBorder="1"/>
    <xf numFmtId="165" fontId="4" fillId="0" borderId="20" xfId="0" applyNumberFormat="1" applyFont="1" applyBorder="1"/>
    <xf numFmtId="4" fontId="4" fillId="0" borderId="20" xfId="0" applyNumberFormat="1" applyFont="1" applyBorder="1"/>
    <xf numFmtId="165" fontId="4" fillId="0" borderId="21" xfId="0" applyNumberFormat="1" applyFont="1" applyBorder="1"/>
    <xf numFmtId="0" fontId="8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8" fillId="0" borderId="23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4" fillId="3" borderId="24" xfId="0" applyFont="1" applyFill="1" applyBorder="1" applyAlignment="1">
      <alignment wrapText="1"/>
    </xf>
    <xf numFmtId="49" fontId="7" fillId="3" borderId="26" xfId="0" applyNumberFormat="1" applyFont="1" applyFill="1" applyBorder="1" applyAlignment="1">
      <alignment horizontal="left"/>
    </xf>
    <xf numFmtId="49" fontId="7" fillId="3" borderId="26" xfId="0" applyNumberFormat="1" applyFont="1" applyFill="1" applyBorder="1"/>
    <xf numFmtId="0" fontId="6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left"/>
    </xf>
    <xf numFmtId="4" fontId="7" fillId="3" borderId="18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49" fontId="4" fillId="3" borderId="26" xfId="0" applyNumberFormat="1" applyFont="1" applyFill="1" applyBorder="1" applyAlignment="1">
      <alignment horizontal="right" wrapText="1"/>
    </xf>
    <xf numFmtId="49" fontId="0" fillId="3" borderId="26" xfId="0" applyNumberFormat="1" applyFont="1" applyFill="1" applyBorder="1" applyAlignment="1">
      <alignment horizontal="right" wrapText="1"/>
    </xf>
    <xf numFmtId="49" fontId="7" fillId="3" borderId="26" xfId="0" applyNumberFormat="1" applyFont="1" applyFill="1" applyBorder="1" applyAlignment="1">
      <alignment horizontal="right" wrapText="1"/>
    </xf>
    <xf numFmtId="49" fontId="6" fillId="0" borderId="22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right" wrapText="1"/>
    </xf>
    <xf numFmtId="49" fontId="1" fillId="0" borderId="22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right" wrapText="1"/>
    </xf>
    <xf numFmtId="49" fontId="8" fillId="0" borderId="17" xfId="0" applyNumberFormat="1" applyFont="1" applyBorder="1" applyAlignment="1">
      <alignment horizontal="right" wrapText="1"/>
    </xf>
    <xf numFmtId="49" fontId="0" fillId="0" borderId="17" xfId="0" applyNumberForma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right" wrapText="1"/>
    </xf>
    <xf numFmtId="49" fontId="8" fillId="0" borderId="17" xfId="0" applyNumberFormat="1" applyFont="1" applyFill="1" applyBorder="1" applyAlignment="1">
      <alignment horizontal="right" wrapText="1"/>
    </xf>
    <xf numFmtId="49" fontId="8" fillId="0" borderId="22" xfId="0" applyNumberFormat="1" applyFont="1" applyFill="1" applyBorder="1" applyAlignment="1">
      <alignment horizontal="right" wrapText="1"/>
    </xf>
    <xf numFmtId="49" fontId="0" fillId="0" borderId="22" xfId="0" applyNumberFormat="1" applyFill="1" applyBorder="1" applyAlignment="1">
      <alignment horizontal="right" wrapText="1"/>
    </xf>
    <xf numFmtId="49" fontId="7" fillId="2" borderId="22" xfId="0" applyNumberFormat="1" applyFont="1" applyFill="1" applyBorder="1" applyAlignment="1">
      <alignment horizontal="right" wrapText="1"/>
    </xf>
    <xf numFmtId="49" fontId="6" fillId="2" borderId="22" xfId="0" applyNumberFormat="1" applyFont="1" applyFill="1" applyBorder="1" applyAlignment="1">
      <alignment horizontal="right" wrapText="1"/>
    </xf>
    <xf numFmtId="49" fontId="0" fillId="0" borderId="22" xfId="0" applyNumberFormat="1" applyBorder="1" applyAlignment="1">
      <alignment horizontal="right" wrapText="1"/>
    </xf>
    <xf numFmtId="49" fontId="4" fillId="2" borderId="22" xfId="0" applyNumberFormat="1" applyFont="1" applyFill="1" applyBorder="1" applyAlignment="1">
      <alignment horizontal="right" wrapText="1"/>
    </xf>
    <xf numFmtId="49" fontId="0" fillId="3" borderId="22" xfId="0" applyNumberFormat="1" applyFont="1" applyFill="1" applyBorder="1" applyAlignment="1">
      <alignment horizontal="right" wrapText="1"/>
    </xf>
    <xf numFmtId="49" fontId="10" fillId="2" borderId="22" xfId="0" applyNumberFormat="1" applyFont="1" applyFill="1" applyBorder="1" applyAlignment="1">
      <alignment horizontal="right" wrapText="1"/>
    </xf>
    <xf numFmtId="49" fontId="7" fillId="3" borderId="22" xfId="0" applyNumberFormat="1" applyFont="1" applyFill="1" applyBorder="1" applyAlignment="1">
      <alignment horizontal="right" wrapText="1"/>
    </xf>
    <xf numFmtId="0" fontId="1" fillId="0" borderId="23" xfId="0" applyNumberFormat="1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vertical="top" wrapText="1"/>
    </xf>
    <xf numFmtId="49" fontId="0" fillId="3" borderId="17" xfId="0" applyNumberFormat="1" applyFont="1" applyFill="1" applyBorder="1" applyAlignment="1">
      <alignment horizontal="right" wrapText="1"/>
    </xf>
    <xf numFmtId="49" fontId="7" fillId="3" borderId="17" xfId="0" applyNumberFormat="1" applyFont="1" applyFill="1" applyBorder="1" applyAlignment="1">
      <alignment horizontal="right" wrapText="1"/>
    </xf>
    <xf numFmtId="49" fontId="0" fillId="3" borderId="22" xfId="0" applyNumberFormat="1" applyFill="1" applyBorder="1" applyAlignment="1">
      <alignment horizontal="right" wrapText="1"/>
    </xf>
    <xf numFmtId="0" fontId="7" fillId="2" borderId="23" xfId="0" applyFont="1" applyFill="1" applyBorder="1" applyAlignment="1">
      <alignment vertical="top" wrapText="1"/>
    </xf>
    <xf numFmtId="0" fontId="4" fillId="0" borderId="23" xfId="0" applyFont="1" applyFill="1" applyBorder="1"/>
    <xf numFmtId="0" fontId="0" fillId="0" borderId="23" xfId="0" applyFill="1" applyBorder="1"/>
    <xf numFmtId="49" fontId="7" fillId="2" borderId="17" xfId="0" applyNumberFormat="1" applyFont="1" applyFill="1" applyBorder="1" applyAlignment="1">
      <alignment horizontal="right" wrapText="1"/>
    </xf>
    <xf numFmtId="0" fontId="7" fillId="5" borderId="16" xfId="0" applyFont="1" applyFill="1" applyBorder="1" applyAlignment="1">
      <alignment vertical="top" wrapText="1"/>
    </xf>
    <xf numFmtId="49" fontId="7" fillId="5" borderId="22" xfId="0" applyNumberFormat="1" applyFont="1" applyFill="1" applyBorder="1" applyAlignment="1">
      <alignment horizontal="right" wrapText="1"/>
    </xf>
    <xf numFmtId="49" fontId="7" fillId="5" borderId="17" xfId="0" applyNumberFormat="1" applyFont="1" applyFill="1" applyBorder="1"/>
    <xf numFmtId="4" fontId="7" fillId="5" borderId="18" xfId="0" applyNumberFormat="1" applyFont="1" applyFill="1" applyBorder="1"/>
    <xf numFmtId="49" fontId="4" fillId="5" borderId="26" xfId="0" applyNumberFormat="1" applyFont="1" applyFill="1" applyBorder="1" applyAlignment="1">
      <alignment horizontal="right" wrapText="1"/>
    </xf>
    <xf numFmtId="49" fontId="4" fillId="5" borderId="26" xfId="0" applyNumberFormat="1" applyFont="1" applyFill="1" applyBorder="1" applyAlignment="1">
      <alignment wrapText="1"/>
    </xf>
    <xf numFmtId="49" fontId="7" fillId="5" borderId="25" xfId="0" applyNumberFormat="1" applyFont="1" applyFill="1" applyBorder="1" applyAlignment="1">
      <alignment horizontal="right" wrapText="1"/>
    </xf>
    <xf numFmtId="49" fontId="7" fillId="5" borderId="17" xfId="0" applyNumberFormat="1" applyFont="1" applyFill="1" applyBorder="1" applyAlignment="1">
      <alignment horizontal="left"/>
    </xf>
    <xf numFmtId="0" fontId="6" fillId="5" borderId="16" xfId="0" applyFont="1" applyFill="1" applyBorder="1" applyAlignment="1">
      <alignment wrapText="1"/>
    </xf>
    <xf numFmtId="4" fontId="7" fillId="5" borderId="18" xfId="0" applyNumberFormat="1" applyFont="1" applyFill="1" applyBorder="1" applyAlignment="1">
      <alignment horizontal="right"/>
    </xf>
    <xf numFmtId="49" fontId="7" fillId="5" borderId="17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7" fillId="5" borderId="16" xfId="0" applyFont="1" applyFill="1" applyBorder="1" applyAlignment="1">
      <alignment wrapText="1"/>
    </xf>
    <xf numFmtId="49" fontId="6" fillId="5" borderId="17" xfId="0" applyNumberFormat="1" applyFont="1" applyFill="1" applyBorder="1" applyAlignment="1">
      <alignment horizontal="right" wrapText="1"/>
    </xf>
    <xf numFmtId="49" fontId="6" fillId="0" borderId="17" xfId="0" applyNumberFormat="1" applyFont="1" applyBorder="1" applyAlignment="1">
      <alignment horizontal="right" wrapText="1"/>
    </xf>
    <xf numFmtId="49" fontId="6" fillId="2" borderId="17" xfId="0" applyNumberFormat="1" applyFont="1" applyFill="1" applyBorder="1" applyAlignment="1">
      <alignment horizontal="right" wrapText="1"/>
    </xf>
    <xf numFmtId="49" fontId="6" fillId="0" borderId="17" xfId="0" applyNumberFormat="1" applyFont="1" applyFill="1" applyBorder="1" applyAlignment="1">
      <alignment horizontal="right" wrapText="1"/>
    </xf>
    <xf numFmtId="49" fontId="0" fillId="3" borderId="17" xfId="0" applyNumberFormat="1" applyFill="1" applyBorder="1" applyAlignment="1">
      <alignment horizontal="right" wrapText="1"/>
    </xf>
    <xf numFmtId="0" fontId="8" fillId="0" borderId="30" xfId="0" applyFont="1" applyFill="1" applyBorder="1" applyAlignment="1">
      <alignment wrapText="1"/>
    </xf>
    <xf numFmtId="49" fontId="1" fillId="0" borderId="31" xfId="0" applyNumberFormat="1" applyFont="1" applyFill="1" applyBorder="1" applyAlignment="1">
      <alignment horizontal="left"/>
    </xf>
    <xf numFmtId="49" fontId="0" fillId="0" borderId="31" xfId="0" applyNumberFormat="1" applyFill="1" applyBorder="1"/>
    <xf numFmtId="4" fontId="0" fillId="0" borderId="32" xfId="0" applyNumberFormat="1" applyFill="1" applyBorder="1"/>
    <xf numFmtId="49" fontId="4" fillId="5" borderId="17" xfId="0" applyNumberFormat="1" applyFont="1" applyFill="1" applyBorder="1" applyAlignment="1"/>
    <xf numFmtId="49" fontId="8" fillId="0" borderId="31" xfId="0" applyNumberFormat="1" applyFont="1" applyBorder="1" applyAlignment="1">
      <alignment horizontal="right" wrapText="1"/>
    </xf>
    <xf numFmtId="49" fontId="1" fillId="0" borderId="31" xfId="0" applyNumberFormat="1" applyFont="1" applyFill="1" applyBorder="1"/>
    <xf numFmtId="49" fontId="0" fillId="0" borderId="17" xfId="0" applyNumberFormat="1" applyFont="1" applyFill="1" applyBorder="1" applyAlignment="1">
      <alignment horizontal="right" wrapText="1"/>
    </xf>
    <xf numFmtId="0" fontId="8" fillId="0" borderId="23" xfId="0" applyFont="1" applyBorder="1" applyAlignment="1">
      <alignment horizontal="justify" wrapText="1"/>
    </xf>
    <xf numFmtId="0" fontId="8" fillId="0" borderId="23" xfId="0" applyFont="1" applyBorder="1" applyAlignment="1">
      <alignment wrapText="1"/>
    </xf>
    <xf numFmtId="4" fontId="7" fillId="3" borderId="27" xfId="0" applyNumberFormat="1" applyFont="1" applyFill="1" applyBorder="1" applyAlignment="1">
      <alignment horizontal="right" wrapText="1"/>
    </xf>
    <xf numFmtId="0" fontId="4" fillId="5" borderId="16" xfId="0" applyFont="1" applyFill="1" applyBorder="1" applyAlignment="1">
      <alignment vertical="top" wrapText="1"/>
    </xf>
    <xf numFmtId="49" fontId="4" fillId="5" borderId="17" xfId="0" applyNumberFormat="1" applyFont="1" applyFill="1" applyBorder="1" applyAlignment="1">
      <alignment horizontal="right"/>
    </xf>
    <xf numFmtId="49" fontId="4" fillId="5" borderId="17" xfId="0" applyNumberFormat="1" applyFont="1" applyFill="1" applyBorder="1" applyAlignment="1">
      <alignment horizontal="left"/>
    </xf>
    <xf numFmtId="49" fontId="4" fillId="5" borderId="17" xfId="0" applyNumberFormat="1" applyFont="1" applyFill="1" applyBorder="1"/>
    <xf numFmtId="4" fontId="4" fillId="5" borderId="18" xfId="0" applyNumberFormat="1" applyFont="1" applyFill="1" applyBorder="1" applyAlignment="1">
      <alignment horizontal="right"/>
    </xf>
    <xf numFmtId="49" fontId="7" fillId="6" borderId="22" xfId="0" applyNumberFormat="1" applyFont="1" applyFill="1" applyBorder="1" applyAlignment="1">
      <alignment horizontal="right" wrapText="1"/>
    </xf>
    <xf numFmtId="49" fontId="7" fillId="6" borderId="17" xfId="0" applyNumberFormat="1" applyFont="1" applyFill="1" applyBorder="1" applyAlignment="1">
      <alignment wrapText="1"/>
    </xf>
    <xf numFmtId="49" fontId="7" fillId="6" borderId="17" xfId="0" applyNumberFormat="1" applyFont="1" applyFill="1" applyBorder="1"/>
    <xf numFmtId="0" fontId="7" fillId="6" borderId="16" xfId="0" applyFont="1" applyFill="1" applyBorder="1" applyAlignment="1">
      <alignment vertical="top" wrapText="1"/>
    </xf>
    <xf numFmtId="49" fontId="1" fillId="6" borderId="22" xfId="0" applyNumberFormat="1" applyFont="1" applyFill="1" applyBorder="1" applyAlignment="1">
      <alignment horizontal="right" wrapText="1"/>
    </xf>
    <xf numFmtId="4" fontId="7" fillId="6" borderId="18" xfId="0" applyNumberFormat="1" applyFont="1" applyFill="1" applyBorder="1"/>
    <xf numFmtId="49" fontId="7" fillId="6" borderId="17" xfId="0" applyNumberFormat="1" applyFont="1" applyFill="1" applyBorder="1" applyAlignment="1">
      <alignment horizontal="left"/>
    </xf>
    <xf numFmtId="0" fontId="4" fillId="6" borderId="13" xfId="0" applyFont="1" applyFill="1" applyBorder="1" applyAlignment="1">
      <alignment wrapText="1"/>
    </xf>
    <xf numFmtId="49" fontId="7" fillId="6" borderId="14" xfId="0" applyNumberFormat="1" applyFont="1" applyFill="1" applyBorder="1" applyAlignment="1">
      <alignment horizontal="left"/>
    </xf>
    <xf numFmtId="49" fontId="7" fillId="6" borderId="14" xfId="0" applyNumberFormat="1" applyFont="1" applyFill="1" applyBorder="1"/>
    <xf numFmtId="4" fontId="7" fillId="6" borderId="15" xfId="0" applyNumberFormat="1" applyFont="1" applyFill="1" applyBorder="1" applyAlignment="1">
      <alignment horizontal="right"/>
    </xf>
    <xf numFmtId="0" fontId="6" fillId="6" borderId="16" xfId="0" applyFont="1" applyFill="1" applyBorder="1" applyAlignment="1">
      <alignment horizontal="left" wrapText="1"/>
    </xf>
    <xf numFmtId="0" fontId="6" fillId="6" borderId="16" xfId="0" applyFont="1" applyFill="1" applyBorder="1" applyAlignment="1">
      <alignment wrapText="1"/>
    </xf>
    <xf numFmtId="0" fontId="4" fillId="6" borderId="16" xfId="0" applyFont="1" applyFill="1" applyBorder="1" applyAlignment="1">
      <alignment vertical="top" wrapText="1"/>
    </xf>
    <xf numFmtId="49" fontId="7" fillId="6" borderId="17" xfId="0" applyNumberFormat="1" applyFont="1" applyFill="1" applyBorder="1" applyAlignment="1"/>
    <xf numFmtId="4" fontId="7" fillId="6" borderId="18" xfId="0" applyNumberFormat="1" applyFont="1" applyFill="1" applyBorder="1" applyAlignment="1"/>
    <xf numFmtId="0" fontId="0" fillId="0" borderId="0" xfId="0" applyAlignment="1">
      <alignment horizontal="right"/>
    </xf>
    <xf numFmtId="0" fontId="4" fillId="5" borderId="24" xfId="0" applyFont="1" applyFill="1" applyBorder="1" applyAlignment="1">
      <alignment wrapText="1"/>
    </xf>
    <xf numFmtId="4" fontId="4" fillId="5" borderId="27" xfId="0" applyNumberFormat="1" applyFont="1" applyFill="1" applyBorder="1" applyAlignment="1">
      <alignment wrapText="1"/>
    </xf>
    <xf numFmtId="0" fontId="8" fillId="0" borderId="33" xfId="0" applyFont="1" applyBorder="1" applyAlignment="1">
      <alignment wrapText="1"/>
    </xf>
    <xf numFmtId="0" fontId="4" fillId="2" borderId="16" xfId="0" applyFont="1" applyFill="1" applyBorder="1" applyAlignment="1">
      <alignment wrapText="1"/>
    </xf>
    <xf numFmtId="4" fontId="7" fillId="2" borderId="18" xfId="0" applyNumberFormat="1" applyFont="1" applyFill="1" applyBorder="1" applyAlignment="1">
      <alignment horizontal="right"/>
    </xf>
    <xf numFmtId="0" fontId="4" fillId="5" borderId="23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49" fontId="4" fillId="5" borderId="34" xfId="0" applyNumberFormat="1" applyFont="1" applyFill="1" applyBorder="1" applyAlignment="1">
      <alignment horizontal="right" wrapText="1"/>
    </xf>
    <xf numFmtId="0" fontId="4" fillId="5" borderId="29" xfId="0" applyFont="1" applyFill="1" applyBorder="1"/>
    <xf numFmtId="4" fontId="4" fillId="5" borderId="10" xfId="0" applyNumberFormat="1" applyFon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49" fontId="6" fillId="6" borderId="17" xfId="0" applyNumberFormat="1" applyFont="1" applyFill="1" applyBorder="1" applyAlignment="1">
      <alignment wrapText="1"/>
    </xf>
    <xf numFmtId="49" fontId="6" fillId="6" borderId="17" xfId="0" applyNumberFormat="1" applyFont="1" applyFill="1" applyBorder="1" applyAlignment="1">
      <alignment horizontal="left"/>
    </xf>
    <xf numFmtId="49" fontId="6" fillId="6" borderId="17" xfId="0" applyNumberFormat="1" applyFont="1" applyFill="1" applyBorder="1"/>
    <xf numFmtId="4" fontId="6" fillId="6" borderId="18" xfId="0" applyNumberFormat="1" applyFont="1" applyFill="1" applyBorder="1"/>
    <xf numFmtId="4" fontId="6" fillId="0" borderId="18" xfId="0" applyNumberFormat="1" applyFont="1" applyFill="1" applyBorder="1"/>
    <xf numFmtId="49" fontId="8" fillId="0" borderId="16" xfId="0" applyNumberFormat="1" applyFont="1" applyBorder="1" applyAlignment="1">
      <alignment wrapText="1"/>
    </xf>
    <xf numFmtId="49" fontId="8" fillId="0" borderId="17" xfId="0" applyNumberFormat="1" applyFont="1" applyFill="1" applyBorder="1" applyAlignment="1">
      <alignment wrapText="1"/>
    </xf>
    <xf numFmtId="49" fontId="8" fillId="0" borderId="17" xfId="0" applyNumberFormat="1" applyFont="1" applyFill="1" applyBorder="1" applyAlignment="1">
      <alignment horizontal="left"/>
    </xf>
    <xf numFmtId="49" fontId="8" fillId="0" borderId="17" xfId="0" applyNumberFormat="1" applyFont="1" applyFill="1" applyBorder="1"/>
    <xf numFmtId="4" fontId="8" fillId="0" borderId="18" xfId="0" applyNumberFormat="1" applyFont="1" applyFill="1" applyBorder="1"/>
    <xf numFmtId="0" fontId="6" fillId="6" borderId="16" xfId="0" applyFont="1" applyFill="1" applyBorder="1" applyAlignment="1">
      <alignment vertical="top" wrapText="1"/>
    </xf>
    <xf numFmtId="0" fontId="6" fillId="0" borderId="16" xfId="0" applyFont="1" applyFill="1" applyBorder="1"/>
    <xf numFmtId="49" fontId="6" fillId="0" borderId="17" xfId="0" applyNumberFormat="1" applyFont="1" applyFill="1" applyBorder="1"/>
    <xf numFmtId="49" fontId="11" fillId="0" borderId="17" xfId="0" applyNumberFormat="1" applyFont="1" applyFill="1" applyBorder="1" applyAlignment="1">
      <alignment wrapText="1"/>
    </xf>
    <xf numFmtId="49" fontId="11" fillId="0" borderId="17" xfId="0" applyNumberFormat="1" applyFont="1" applyFill="1" applyBorder="1" applyAlignment="1">
      <alignment horizontal="left"/>
    </xf>
    <xf numFmtId="49" fontId="11" fillId="0" borderId="17" xfId="0" applyNumberFormat="1" applyFont="1" applyFill="1" applyBorder="1"/>
    <xf numFmtId="0" fontId="6" fillId="7" borderId="23" xfId="0" applyFont="1" applyFill="1" applyBorder="1" applyAlignment="1">
      <alignment wrapText="1"/>
    </xf>
    <xf numFmtId="49" fontId="7" fillId="7" borderId="22" xfId="0" applyNumberFormat="1" applyFont="1" applyFill="1" applyBorder="1" applyAlignment="1">
      <alignment horizontal="right" wrapText="1"/>
    </xf>
    <xf numFmtId="49" fontId="7" fillId="7" borderId="17" xfId="0" applyNumberFormat="1" applyFont="1" applyFill="1" applyBorder="1"/>
    <xf numFmtId="4" fontId="7" fillId="7" borderId="18" xfId="0" applyNumberFormat="1" applyFont="1" applyFill="1" applyBorder="1"/>
    <xf numFmtId="49" fontId="7" fillId="8" borderId="22" xfId="0" applyNumberFormat="1" applyFont="1" applyFill="1" applyBorder="1" applyAlignment="1">
      <alignment horizontal="right" wrapText="1"/>
    </xf>
    <xf numFmtId="49" fontId="7" fillId="8" borderId="17" xfId="0" applyNumberFormat="1" applyFont="1" applyFill="1" applyBorder="1" applyAlignment="1">
      <alignment wrapText="1"/>
    </xf>
    <xf numFmtId="49" fontId="7" fillId="8" borderId="17" xfId="0" applyNumberFormat="1" applyFont="1" applyFill="1" applyBorder="1"/>
    <xf numFmtId="4" fontId="7" fillId="8" borderId="18" xfId="0" applyNumberFormat="1" applyFont="1" applyFill="1" applyBorder="1"/>
    <xf numFmtId="0" fontId="4" fillId="6" borderId="0" xfId="0" applyFont="1" applyFill="1" applyBorder="1" applyAlignment="1">
      <alignment vertical="top" wrapText="1"/>
    </xf>
    <xf numFmtId="0" fontId="4" fillId="6" borderId="0" xfId="0" applyFont="1" applyFill="1" applyBorder="1"/>
    <xf numFmtId="4" fontId="4" fillId="6" borderId="0" xfId="0" applyNumberFormat="1" applyFont="1" applyFill="1" applyBorder="1" applyAlignment="1">
      <alignment horizontal="right"/>
    </xf>
    <xf numFmtId="0" fontId="0" fillId="0" borderId="35" xfId="0" applyFill="1" applyBorder="1" applyAlignment="1">
      <alignment vertical="top" wrapText="1"/>
    </xf>
    <xf numFmtId="49" fontId="1" fillId="0" borderId="31" xfId="0" applyNumberFormat="1" applyFont="1" applyFill="1" applyBorder="1" applyAlignment="1">
      <alignment wrapText="1"/>
    </xf>
    <xf numFmtId="0" fontId="7" fillId="8" borderId="16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5" fillId="0" borderId="8" xfId="0" applyFont="1" applyBorder="1" applyAlignment="1">
      <alignment horizontal="right"/>
    </xf>
    <xf numFmtId="165" fontId="5" fillId="0" borderId="0" xfId="0" applyNumberFormat="1" applyFont="1" applyAlignment="1">
      <alignment wrapText="1"/>
    </xf>
    <xf numFmtId="49" fontId="0" fillId="3" borderId="17" xfId="0" applyNumberFormat="1" applyFill="1" applyBorder="1"/>
    <xf numFmtId="2" fontId="7" fillId="0" borderId="18" xfId="0" applyNumberFormat="1" applyFont="1" applyFill="1" applyBorder="1"/>
    <xf numFmtId="2" fontId="1" fillId="0" borderId="18" xfId="0" applyNumberFormat="1" applyFont="1" applyFill="1" applyBorder="1"/>
    <xf numFmtId="49" fontId="0" fillId="0" borderId="31" xfId="0" applyNumberFormat="1" applyFill="1" applyBorder="1" applyAlignment="1">
      <alignment wrapText="1"/>
    </xf>
    <xf numFmtId="0" fontId="4" fillId="6" borderId="6" xfId="0" applyFont="1" applyFill="1" applyBorder="1" applyAlignment="1">
      <alignment vertical="top" wrapText="1"/>
    </xf>
    <xf numFmtId="0" fontId="4" fillId="6" borderId="29" xfId="0" applyFont="1" applyFill="1" applyBorder="1"/>
    <xf numFmtId="4" fontId="4" fillId="6" borderId="10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-rfo1/&#1056;&#1072;&#1073;&#1086;&#1095;&#1080;&#1081;%20&#1089;&#1090;&#1086;&#1083;/&#1041;&#1102;&#1076;&#1078;&#1077;&#1090;&#1099;/&#1041;&#1102;&#1076;&#1078;&#1077;&#1090;%202013%20&#1075;&#1086;&#1076;&#1072;/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56;&#1080;&#1084;&#1084;&#1072;2/&#1056;&#1077;&#1075;&#1091;&#1083;&#1080;&#1088;&#1086;&#1074;&#1082;&#1072;_&#1063;&#1077;&#1088;&#1077;&#1084;&#1096;&#1072;&#1085;&#1089;&#1082;&#1086;&#1075;&#1086;_&#1088;&#1072;&#1081;&#1086;&#1085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-rfo1/Application%20Data/Microsoft/Excel/&#1055;&#1088;&#1080;&#1083;&#1086;&#1078;&#1077;&#1085;&#1080;&#1103;%202013%20&#1075;&#1086;&#1076;%20&#1085;&#1086;&#1074;&#1099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16"/>
      <sheetName val="Лист1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4"/>
      <sheetName val="Лист15"/>
      <sheetName val="Лист12"/>
    </sheetNames>
    <sheetDataSet>
      <sheetData sheetId="0"/>
      <sheetData sheetId="1">
        <row r="6">
          <cell r="T6">
            <v>1954.2</v>
          </cell>
          <cell r="U6">
            <v>64.3</v>
          </cell>
        </row>
        <row r="7">
          <cell r="T7">
            <v>3476.5</v>
          </cell>
          <cell r="U7">
            <v>84.8</v>
          </cell>
          <cell r="V7">
            <v>3391.7</v>
          </cell>
        </row>
        <row r="8">
          <cell r="T8">
            <v>2035.4</v>
          </cell>
          <cell r="U8">
            <v>56.900000000000006</v>
          </cell>
          <cell r="V8">
            <v>1978.5</v>
          </cell>
        </row>
        <row r="9">
          <cell r="T9">
            <v>2192.2999999999997</v>
          </cell>
          <cell r="U9">
            <v>60.699999999999996</v>
          </cell>
          <cell r="V9">
            <v>2131.6</v>
          </cell>
        </row>
        <row r="10">
          <cell r="T10">
            <v>2120.3999999999996</v>
          </cell>
          <cell r="U10">
            <v>68.099999999999994</v>
          </cell>
          <cell r="V10">
            <v>2052.3000000000002</v>
          </cell>
        </row>
        <row r="11">
          <cell r="T11">
            <v>3388</v>
          </cell>
          <cell r="U11">
            <v>84.3</v>
          </cell>
          <cell r="V11">
            <v>3303.7</v>
          </cell>
        </row>
        <row r="12">
          <cell r="T12">
            <v>2616.1000000000004</v>
          </cell>
          <cell r="U12">
            <v>58.9</v>
          </cell>
          <cell r="V12">
            <v>2557.2000000000003</v>
          </cell>
        </row>
        <row r="13">
          <cell r="T13">
            <v>2761.6</v>
          </cell>
          <cell r="U13">
            <v>84.6</v>
          </cell>
          <cell r="V13">
            <v>2677</v>
          </cell>
        </row>
        <row r="14">
          <cell r="T14">
            <v>1805.8000000000002</v>
          </cell>
          <cell r="U14">
            <v>61</v>
          </cell>
          <cell r="V14">
            <v>1744.8</v>
          </cell>
        </row>
        <row r="15">
          <cell r="T15">
            <v>3474.2000000000003</v>
          </cell>
          <cell r="U15">
            <v>65.099999999999994</v>
          </cell>
          <cell r="V15">
            <v>3409.1000000000004</v>
          </cell>
        </row>
        <row r="16">
          <cell r="T16">
            <v>2468.3000000000002</v>
          </cell>
          <cell r="U16">
            <v>59</v>
          </cell>
          <cell r="V16">
            <v>2409.3000000000002</v>
          </cell>
        </row>
        <row r="17">
          <cell r="T17">
            <v>2475.1000000000004</v>
          </cell>
          <cell r="U17">
            <v>69.399999999999991</v>
          </cell>
          <cell r="V17">
            <v>2405.7000000000003</v>
          </cell>
        </row>
        <row r="18">
          <cell r="T18">
            <v>3859.7000000000003</v>
          </cell>
          <cell r="U18">
            <v>75.599999999999994</v>
          </cell>
          <cell r="V18">
            <v>3784.1000000000004</v>
          </cell>
        </row>
        <row r="19">
          <cell r="T19">
            <v>1851.4</v>
          </cell>
          <cell r="U19">
            <v>60.599999999999994</v>
          </cell>
          <cell r="V19">
            <v>1790.8</v>
          </cell>
        </row>
        <row r="20">
          <cell r="T20">
            <v>2455.4</v>
          </cell>
          <cell r="U20">
            <v>68.5</v>
          </cell>
          <cell r="V20">
            <v>2386.9</v>
          </cell>
        </row>
        <row r="21">
          <cell r="T21">
            <v>49199.000000000007</v>
          </cell>
          <cell r="U21">
            <v>0</v>
          </cell>
          <cell r="V21">
            <v>49199</v>
          </cell>
        </row>
        <row r="22">
          <cell r="T22">
            <v>2227.4</v>
          </cell>
          <cell r="U22">
            <v>60.599999999999994</v>
          </cell>
          <cell r="V22">
            <v>2166.8000000000002</v>
          </cell>
        </row>
        <row r="23">
          <cell r="T23">
            <v>92452.5</v>
          </cell>
          <cell r="U23">
            <v>1147.3</v>
          </cell>
          <cell r="V23">
            <v>91305.2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льские "/>
      <sheetName val="Лист1"/>
      <sheetName val="Лист2"/>
      <sheetName val="Черемш МР и 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оинс2013"/>
      <sheetName val="воинс 2014-2015"/>
      <sheetName val="загс2013"/>
      <sheetName val="загс 20142015"/>
      <sheetName val="скот 2014"/>
      <sheetName val="скот 2014-2015"/>
      <sheetName val="ведомств 2013 год"/>
      <sheetName val="функ 2013"/>
    </sheetNames>
    <sheetDataSet>
      <sheetData sheetId="0" refreshError="1"/>
      <sheetData sheetId="1" refreshError="1"/>
      <sheetData sheetId="2" refreshError="1">
        <row r="7">
          <cell r="B7">
            <v>2.4</v>
          </cell>
        </row>
        <row r="8">
          <cell r="B8">
            <v>1.8</v>
          </cell>
        </row>
        <row r="9">
          <cell r="B9">
            <v>3.8</v>
          </cell>
        </row>
        <row r="10">
          <cell r="B10">
            <v>1.7</v>
          </cell>
        </row>
        <row r="11">
          <cell r="B11">
            <v>1.9</v>
          </cell>
        </row>
        <row r="12">
          <cell r="B12">
            <v>3.3</v>
          </cell>
        </row>
        <row r="13">
          <cell r="B13">
            <v>2.2999999999999998</v>
          </cell>
        </row>
        <row r="14">
          <cell r="B14">
            <v>2.6</v>
          </cell>
        </row>
        <row r="15">
          <cell r="B15">
            <v>2.2000000000000002</v>
          </cell>
        </row>
        <row r="16">
          <cell r="B16">
            <v>3.8</v>
          </cell>
        </row>
        <row r="17">
          <cell r="B17">
            <v>2.2000000000000002</v>
          </cell>
        </row>
        <row r="18">
          <cell r="B18">
            <v>3.3</v>
          </cell>
        </row>
        <row r="19">
          <cell r="B19">
            <v>2</v>
          </cell>
        </row>
        <row r="20">
          <cell r="B20">
            <v>4</v>
          </cell>
        </row>
        <row r="21">
          <cell r="B21">
            <v>1.8</v>
          </cell>
        </row>
        <row r="22">
          <cell r="B22">
            <v>2.4</v>
          </cell>
        </row>
        <row r="23">
          <cell r="B23">
            <v>1.8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275"/>
  <sheetViews>
    <sheetView topLeftCell="A220" workbookViewId="0">
      <selection activeCell="A240" sqref="A240"/>
    </sheetView>
  </sheetViews>
  <sheetFormatPr defaultRowHeight="12.75"/>
  <cols>
    <col min="1" max="1" width="74.140625" customWidth="1"/>
    <col min="2" max="2" width="7.42578125" customWidth="1"/>
    <col min="3" max="3" width="7.140625" customWidth="1"/>
    <col min="4" max="4" width="4.7109375" customWidth="1"/>
    <col min="5" max="5" width="12.140625" customWidth="1"/>
    <col min="6" max="6" width="7.85546875" customWidth="1"/>
    <col min="7" max="7" width="18.5703125" customWidth="1"/>
    <col min="8" max="8" width="11.5703125" customWidth="1"/>
    <col min="9" max="9" width="13" customWidth="1"/>
    <col min="10" max="10" width="9.5703125" bestFit="1" customWidth="1"/>
  </cols>
  <sheetData>
    <row r="1" spans="1:9" ht="12" customHeight="1">
      <c r="A1" s="2"/>
      <c r="B1" s="2"/>
      <c r="C1" s="2"/>
      <c r="D1" s="2"/>
      <c r="E1" s="2"/>
      <c r="F1" s="2"/>
      <c r="G1" s="253" t="s">
        <v>349</v>
      </c>
    </row>
    <row r="2" spans="1:9" ht="68.25" hidden="1" customHeight="1">
      <c r="A2" s="63"/>
      <c r="B2" s="63"/>
      <c r="C2" s="63"/>
      <c r="D2" s="63"/>
      <c r="E2" s="4"/>
      <c r="F2" s="4"/>
      <c r="G2" s="120" t="s">
        <v>71</v>
      </c>
    </row>
    <row r="3" spans="1:9">
      <c r="A3" s="64"/>
      <c r="B3" s="64"/>
      <c r="C3" s="64"/>
      <c r="D3" s="64"/>
      <c r="E3" s="64"/>
      <c r="F3" s="64"/>
      <c r="G3" s="64"/>
    </row>
    <row r="4" spans="1:9" ht="36" customHeight="1">
      <c r="A4" s="310" t="s">
        <v>348</v>
      </c>
      <c r="B4" s="310"/>
      <c r="C4" s="310"/>
      <c r="D4" s="310"/>
      <c r="E4" s="310"/>
      <c r="F4" s="310"/>
      <c r="G4" s="310"/>
      <c r="H4" s="295"/>
      <c r="I4" s="295"/>
    </row>
    <row r="5" spans="1:9" ht="13.5" thickBot="1">
      <c r="A5" s="65"/>
      <c r="B5" s="65"/>
      <c r="C5" s="65"/>
      <c r="D5" s="65"/>
      <c r="E5" s="65"/>
      <c r="F5" s="65"/>
      <c r="G5" s="66" t="s">
        <v>2</v>
      </c>
    </row>
    <row r="6" spans="1:9" ht="51.75" customHeight="1" thickBot="1">
      <c r="A6" s="161" t="s">
        <v>3</v>
      </c>
      <c r="B6" s="162" t="s">
        <v>300</v>
      </c>
      <c r="C6" s="163" t="s">
        <v>72</v>
      </c>
      <c r="D6" s="163" t="s">
        <v>73</v>
      </c>
      <c r="E6" s="163" t="s">
        <v>74</v>
      </c>
      <c r="F6" s="163" t="s">
        <v>75</v>
      </c>
      <c r="G6" s="164" t="s">
        <v>63</v>
      </c>
    </row>
    <row r="7" spans="1:9" hidden="1">
      <c r="A7" s="254" t="s">
        <v>301</v>
      </c>
      <c r="B7" s="207">
        <v>200</v>
      </c>
      <c r="C7" s="208" t="s">
        <v>78</v>
      </c>
      <c r="D7" s="208" t="s">
        <v>78</v>
      </c>
      <c r="E7" s="208" t="s">
        <v>146</v>
      </c>
      <c r="F7" s="208" t="s">
        <v>80</v>
      </c>
      <c r="G7" s="255">
        <f>G8</f>
        <v>12086.7</v>
      </c>
    </row>
    <row r="8" spans="1:9" hidden="1">
      <c r="A8" s="165" t="s">
        <v>76</v>
      </c>
      <c r="B8" s="174">
        <v>200</v>
      </c>
      <c r="C8" s="166" t="s">
        <v>77</v>
      </c>
      <c r="D8" s="166" t="s">
        <v>78</v>
      </c>
      <c r="E8" s="166" t="s">
        <v>79</v>
      </c>
      <c r="F8" s="167" t="s">
        <v>80</v>
      </c>
      <c r="G8" s="231">
        <f>G9+G13+G19</f>
        <v>12086.7</v>
      </c>
      <c r="I8" s="23"/>
    </row>
    <row r="9" spans="1:9" ht="54" hidden="1" customHeight="1">
      <c r="A9" s="168" t="s">
        <v>81</v>
      </c>
      <c r="B9" s="174">
        <v>200</v>
      </c>
      <c r="C9" s="169" t="s">
        <v>77</v>
      </c>
      <c r="D9" s="169" t="s">
        <v>82</v>
      </c>
      <c r="E9" s="169" t="s">
        <v>79</v>
      </c>
      <c r="F9" s="169" t="s">
        <v>80</v>
      </c>
      <c r="G9" s="170">
        <f>G10</f>
        <v>1902</v>
      </c>
    </row>
    <row r="10" spans="1:9" ht="47.25" hidden="1" customHeight="1">
      <c r="A10" s="158" t="s">
        <v>83</v>
      </c>
      <c r="B10" s="175">
        <v>200</v>
      </c>
      <c r="C10" s="74" t="s">
        <v>77</v>
      </c>
      <c r="D10" s="74" t="s">
        <v>82</v>
      </c>
      <c r="E10" s="74" t="s">
        <v>84</v>
      </c>
      <c r="F10" s="74" t="s">
        <v>80</v>
      </c>
      <c r="G10" s="75">
        <f>G11</f>
        <v>1902</v>
      </c>
    </row>
    <row r="11" spans="1:9" ht="47.25" hidden="1" customHeight="1">
      <c r="A11" s="158" t="s">
        <v>83</v>
      </c>
      <c r="B11" s="175">
        <v>200</v>
      </c>
      <c r="C11" s="74" t="s">
        <v>77</v>
      </c>
      <c r="D11" s="74" t="s">
        <v>82</v>
      </c>
      <c r="E11" s="74" t="s">
        <v>85</v>
      </c>
      <c r="F11" s="74" t="s">
        <v>80</v>
      </c>
      <c r="G11" s="75">
        <f>G12</f>
        <v>1902</v>
      </c>
    </row>
    <row r="12" spans="1:9" ht="38.25" hidden="1">
      <c r="A12" s="256" t="s">
        <v>218</v>
      </c>
      <c r="B12" s="175">
        <v>200</v>
      </c>
      <c r="C12" s="74" t="s">
        <v>77</v>
      </c>
      <c r="D12" s="74" t="s">
        <v>82</v>
      </c>
      <c r="E12" s="74" t="s">
        <v>85</v>
      </c>
      <c r="F12" s="93" t="s">
        <v>217</v>
      </c>
      <c r="G12" s="75">
        <f>1461+441</f>
        <v>1902</v>
      </c>
    </row>
    <row r="13" spans="1:9" ht="38.25" hidden="1">
      <c r="A13" s="159" t="s">
        <v>86</v>
      </c>
      <c r="B13" s="174">
        <v>200</v>
      </c>
      <c r="C13" s="76" t="s">
        <v>77</v>
      </c>
      <c r="D13" s="76" t="s">
        <v>87</v>
      </c>
      <c r="E13" s="76" t="s">
        <v>79</v>
      </c>
      <c r="F13" s="76" t="s">
        <v>80</v>
      </c>
      <c r="G13" s="72">
        <f>G14</f>
        <v>9931.7000000000007</v>
      </c>
    </row>
    <row r="14" spans="1:9" ht="38.25" hidden="1">
      <c r="A14" s="158" t="s">
        <v>83</v>
      </c>
      <c r="B14" s="175">
        <v>200</v>
      </c>
      <c r="C14" s="74" t="s">
        <v>77</v>
      </c>
      <c r="D14" s="74" t="s">
        <v>87</v>
      </c>
      <c r="E14" s="74" t="s">
        <v>84</v>
      </c>
      <c r="F14" s="74" t="s">
        <v>80</v>
      </c>
      <c r="G14" s="75">
        <f>G15</f>
        <v>9931.7000000000007</v>
      </c>
    </row>
    <row r="15" spans="1:9" hidden="1">
      <c r="A15" s="160" t="s">
        <v>88</v>
      </c>
      <c r="B15" s="175">
        <v>200</v>
      </c>
      <c r="C15" s="74" t="s">
        <v>77</v>
      </c>
      <c r="D15" s="74" t="s">
        <v>87</v>
      </c>
      <c r="E15" s="74" t="s">
        <v>89</v>
      </c>
      <c r="F15" s="74" t="s">
        <v>80</v>
      </c>
      <c r="G15" s="75">
        <f>G16+G17+G18</f>
        <v>9931.7000000000007</v>
      </c>
    </row>
    <row r="16" spans="1:9" ht="38.25" hidden="1">
      <c r="A16" s="256" t="s">
        <v>218</v>
      </c>
      <c r="B16" s="175">
        <v>200</v>
      </c>
      <c r="C16" s="74" t="s">
        <v>77</v>
      </c>
      <c r="D16" s="74" t="s">
        <v>87</v>
      </c>
      <c r="E16" s="74" t="s">
        <v>89</v>
      </c>
      <c r="F16" s="93" t="s">
        <v>217</v>
      </c>
      <c r="G16" s="75">
        <v>4589</v>
      </c>
    </row>
    <row r="17" spans="1:7" hidden="1">
      <c r="A17" s="230" t="s">
        <v>221</v>
      </c>
      <c r="B17" s="175">
        <v>200</v>
      </c>
      <c r="C17" s="74" t="s">
        <v>77</v>
      </c>
      <c r="D17" s="74" t="s">
        <v>87</v>
      </c>
      <c r="E17" s="74" t="s">
        <v>89</v>
      </c>
      <c r="F17" s="93" t="s">
        <v>219</v>
      </c>
      <c r="G17" s="75">
        <v>5165.7</v>
      </c>
    </row>
    <row r="18" spans="1:7" hidden="1">
      <c r="A18" s="230" t="s">
        <v>222</v>
      </c>
      <c r="B18" s="175">
        <v>200</v>
      </c>
      <c r="C18" s="74" t="s">
        <v>77</v>
      </c>
      <c r="D18" s="74" t="s">
        <v>87</v>
      </c>
      <c r="E18" s="74" t="s">
        <v>89</v>
      </c>
      <c r="F18" s="93" t="s">
        <v>220</v>
      </c>
      <c r="G18" s="75">
        <f>180-3</f>
        <v>177</v>
      </c>
    </row>
    <row r="19" spans="1:7" hidden="1">
      <c r="A19" s="89" t="s">
        <v>109</v>
      </c>
      <c r="B19" s="176">
        <v>200</v>
      </c>
      <c r="C19" s="90" t="s">
        <v>77</v>
      </c>
      <c r="D19" s="79" t="s">
        <v>110</v>
      </c>
      <c r="E19" s="79" t="s">
        <v>79</v>
      </c>
      <c r="F19" s="90" t="s">
        <v>80</v>
      </c>
      <c r="G19" s="72">
        <f>G20</f>
        <v>253</v>
      </c>
    </row>
    <row r="20" spans="1:7" ht="38.25" hidden="1">
      <c r="A20" s="73" t="s">
        <v>83</v>
      </c>
      <c r="B20" s="175">
        <v>200</v>
      </c>
      <c r="C20" s="93" t="s">
        <v>77</v>
      </c>
      <c r="D20" s="93" t="s">
        <v>110</v>
      </c>
      <c r="E20" s="93" t="s">
        <v>84</v>
      </c>
      <c r="F20" s="93" t="s">
        <v>80</v>
      </c>
      <c r="G20" s="75">
        <f>G21</f>
        <v>253</v>
      </c>
    </row>
    <row r="21" spans="1:7" hidden="1">
      <c r="A21" s="91" t="s">
        <v>113</v>
      </c>
      <c r="B21" s="175">
        <v>200</v>
      </c>
      <c r="C21" s="88" t="s">
        <v>77</v>
      </c>
      <c r="D21" s="88" t="s">
        <v>110</v>
      </c>
      <c r="E21" s="92" t="s">
        <v>114</v>
      </c>
      <c r="F21" s="93" t="s">
        <v>80</v>
      </c>
      <c r="G21" s="94">
        <f>G22</f>
        <v>253</v>
      </c>
    </row>
    <row r="22" spans="1:7" hidden="1">
      <c r="A22" s="95" t="s">
        <v>221</v>
      </c>
      <c r="B22" s="175">
        <v>200</v>
      </c>
      <c r="C22" s="88" t="s">
        <v>77</v>
      </c>
      <c r="D22" s="88" t="s">
        <v>110</v>
      </c>
      <c r="E22" s="92" t="s">
        <v>114</v>
      </c>
      <c r="F22" s="93" t="s">
        <v>220</v>
      </c>
      <c r="G22" s="94">
        <f>250+3</f>
        <v>253</v>
      </c>
    </row>
    <row r="23" spans="1:7" hidden="1">
      <c r="A23" s="203" t="s">
        <v>308</v>
      </c>
      <c r="B23" s="209" t="s">
        <v>303</v>
      </c>
      <c r="C23" s="205" t="s">
        <v>78</v>
      </c>
      <c r="D23" s="205" t="s">
        <v>78</v>
      </c>
      <c r="E23" s="210" t="s">
        <v>79</v>
      </c>
      <c r="F23" s="210" t="s">
        <v>80</v>
      </c>
      <c r="G23" s="206">
        <f>G24+G63+G76+G82+G67</f>
        <v>35603.369999999995</v>
      </c>
    </row>
    <row r="24" spans="1:7" hidden="1">
      <c r="A24" s="165" t="s">
        <v>76</v>
      </c>
      <c r="B24" s="174" t="s">
        <v>303</v>
      </c>
      <c r="C24" s="166" t="s">
        <v>77</v>
      </c>
      <c r="D24" s="166" t="s">
        <v>78</v>
      </c>
      <c r="E24" s="166" t="s">
        <v>79</v>
      </c>
      <c r="F24" s="167" t="s">
        <v>80</v>
      </c>
      <c r="G24" s="231">
        <f>G25+G31+G36</f>
        <v>15969.369999999999</v>
      </c>
    </row>
    <row r="25" spans="1:7" ht="38.25" hidden="1">
      <c r="A25" s="70" t="s">
        <v>92</v>
      </c>
      <c r="B25" s="177">
        <v>103</v>
      </c>
      <c r="C25" s="78" t="s">
        <v>77</v>
      </c>
      <c r="D25" s="78" t="s">
        <v>93</v>
      </c>
      <c r="E25" s="76" t="s">
        <v>79</v>
      </c>
      <c r="F25" s="79" t="s">
        <v>80</v>
      </c>
      <c r="G25" s="80">
        <f>G26</f>
        <v>9950.9</v>
      </c>
    </row>
    <row r="26" spans="1:7" ht="38.25" hidden="1">
      <c r="A26" s="73" t="s">
        <v>83</v>
      </c>
      <c r="B26" s="177">
        <v>103</v>
      </c>
      <c r="C26" s="81" t="s">
        <v>77</v>
      </c>
      <c r="D26" s="81" t="s">
        <v>93</v>
      </c>
      <c r="E26" s="82" t="s">
        <v>84</v>
      </c>
      <c r="F26" s="82" t="s">
        <v>80</v>
      </c>
      <c r="G26" s="83">
        <f>G27</f>
        <v>9950.9</v>
      </c>
    </row>
    <row r="27" spans="1:7" hidden="1">
      <c r="A27" s="84" t="s">
        <v>94</v>
      </c>
      <c r="B27" s="177">
        <v>103</v>
      </c>
      <c r="C27" s="81" t="s">
        <v>77</v>
      </c>
      <c r="D27" s="81" t="s">
        <v>93</v>
      </c>
      <c r="E27" s="82" t="s">
        <v>89</v>
      </c>
      <c r="F27" s="82" t="s">
        <v>80</v>
      </c>
      <c r="G27" s="83">
        <f>G28+G29+G30</f>
        <v>9950.9</v>
      </c>
    </row>
    <row r="28" spans="1:7" hidden="1">
      <c r="A28" s="84" t="s">
        <v>90</v>
      </c>
      <c r="B28" s="177">
        <v>103</v>
      </c>
      <c r="C28" s="81" t="s">
        <v>77</v>
      </c>
      <c r="D28" s="81" t="s">
        <v>93</v>
      </c>
      <c r="E28" s="82" t="s">
        <v>89</v>
      </c>
      <c r="F28" s="88" t="s">
        <v>217</v>
      </c>
      <c r="G28" s="85">
        <f>5598.3+244-342.6</f>
        <v>5499.7</v>
      </c>
    </row>
    <row r="29" spans="1:7" hidden="1">
      <c r="A29" s="95" t="s">
        <v>221</v>
      </c>
      <c r="B29" s="177">
        <v>103</v>
      </c>
      <c r="C29" s="81" t="s">
        <v>77</v>
      </c>
      <c r="D29" s="81" t="s">
        <v>93</v>
      </c>
      <c r="E29" s="82" t="s">
        <v>89</v>
      </c>
      <c r="F29" s="88" t="s">
        <v>219</v>
      </c>
      <c r="G29" s="85">
        <v>4401.2</v>
      </c>
    </row>
    <row r="30" spans="1:7" hidden="1">
      <c r="A30" s="230" t="s">
        <v>222</v>
      </c>
      <c r="B30" s="219">
        <v>103</v>
      </c>
      <c r="C30" s="81" t="s">
        <v>77</v>
      </c>
      <c r="D30" s="81" t="s">
        <v>93</v>
      </c>
      <c r="E30" s="82" t="s">
        <v>89</v>
      </c>
      <c r="F30" s="88" t="s">
        <v>220</v>
      </c>
      <c r="G30" s="85">
        <f>50</f>
        <v>50</v>
      </c>
    </row>
    <row r="31" spans="1:7" hidden="1">
      <c r="A31" s="89" t="s">
        <v>103</v>
      </c>
      <c r="B31" s="178">
        <v>103</v>
      </c>
      <c r="C31" s="90" t="s">
        <v>77</v>
      </c>
      <c r="D31" s="90" t="s">
        <v>104</v>
      </c>
      <c r="E31" s="79" t="s">
        <v>79</v>
      </c>
      <c r="F31" s="79" t="s">
        <v>80</v>
      </c>
      <c r="G31" s="80">
        <f>G32</f>
        <v>3838.6</v>
      </c>
    </row>
    <row r="32" spans="1:7" hidden="1">
      <c r="A32" s="84" t="s">
        <v>103</v>
      </c>
      <c r="B32" s="179">
        <v>103</v>
      </c>
      <c r="C32" s="81" t="s">
        <v>77</v>
      </c>
      <c r="D32" s="81" t="s">
        <v>104</v>
      </c>
      <c r="E32" s="82" t="s">
        <v>105</v>
      </c>
      <c r="F32" s="82" t="s">
        <v>80</v>
      </c>
      <c r="G32" s="83">
        <f>G33</f>
        <v>3838.6</v>
      </c>
    </row>
    <row r="33" spans="1:7" hidden="1">
      <c r="A33" s="84" t="s">
        <v>106</v>
      </c>
      <c r="B33" s="179">
        <v>103</v>
      </c>
      <c r="C33" s="81" t="s">
        <v>77</v>
      </c>
      <c r="D33" s="81" t="s">
        <v>104</v>
      </c>
      <c r="E33" s="82" t="s">
        <v>105</v>
      </c>
      <c r="F33" s="82" t="s">
        <v>80</v>
      </c>
      <c r="G33" s="83">
        <f>G34</f>
        <v>3838.6</v>
      </c>
    </row>
    <row r="34" spans="1:7" hidden="1">
      <c r="A34" s="73" t="s">
        <v>107</v>
      </c>
      <c r="B34" s="179">
        <v>103</v>
      </c>
      <c r="C34" s="81" t="s">
        <v>77</v>
      </c>
      <c r="D34" s="81" t="s">
        <v>104</v>
      </c>
      <c r="E34" s="82" t="s">
        <v>108</v>
      </c>
      <c r="F34" s="82" t="s">
        <v>80</v>
      </c>
      <c r="G34" s="83">
        <f>G35</f>
        <v>3838.6</v>
      </c>
    </row>
    <row r="35" spans="1:7" hidden="1">
      <c r="A35" s="95" t="s">
        <v>222</v>
      </c>
      <c r="B35" s="179">
        <v>103</v>
      </c>
      <c r="C35" s="81" t="s">
        <v>77</v>
      </c>
      <c r="D35" s="81" t="s">
        <v>104</v>
      </c>
      <c r="E35" s="82" t="s">
        <v>108</v>
      </c>
      <c r="F35" s="88" t="s">
        <v>220</v>
      </c>
      <c r="G35" s="83">
        <v>3838.6</v>
      </c>
    </row>
    <row r="36" spans="1:7" hidden="1">
      <c r="A36" s="89" t="s">
        <v>109</v>
      </c>
      <c r="B36" s="178">
        <v>103</v>
      </c>
      <c r="C36" s="90" t="s">
        <v>77</v>
      </c>
      <c r="D36" s="90" t="s">
        <v>110</v>
      </c>
      <c r="E36" s="79" t="s">
        <v>79</v>
      </c>
      <c r="F36" s="79" t="s">
        <v>80</v>
      </c>
      <c r="G36" s="80">
        <f>G42+G45+G48+G37</f>
        <v>2179.87</v>
      </c>
    </row>
    <row r="37" spans="1:7" hidden="1">
      <c r="A37" s="70" t="s">
        <v>111</v>
      </c>
      <c r="B37" s="178" t="s">
        <v>303</v>
      </c>
      <c r="C37" s="90" t="s">
        <v>77</v>
      </c>
      <c r="D37" s="90" t="s">
        <v>110</v>
      </c>
      <c r="E37" s="79" t="s">
        <v>112</v>
      </c>
      <c r="F37" s="79" t="s">
        <v>80</v>
      </c>
      <c r="G37" s="302">
        <f t="shared" ref="G37" si="0">G38</f>
        <v>794.6</v>
      </c>
    </row>
    <row r="38" spans="1:7" hidden="1">
      <c r="A38" s="158" t="s">
        <v>355</v>
      </c>
      <c r="B38" s="228" t="s">
        <v>303</v>
      </c>
      <c r="C38" s="81" t="s">
        <v>77</v>
      </c>
      <c r="D38" s="102" t="s">
        <v>110</v>
      </c>
      <c r="E38" s="301" t="s">
        <v>356</v>
      </c>
      <c r="F38" s="82" t="s">
        <v>80</v>
      </c>
      <c r="G38" s="303">
        <f>G39+G40+G41</f>
        <v>794.6</v>
      </c>
    </row>
    <row r="39" spans="1:7" ht="38.25" hidden="1">
      <c r="A39" s="256" t="s">
        <v>218</v>
      </c>
      <c r="B39" s="228" t="s">
        <v>303</v>
      </c>
      <c r="C39" s="81" t="s">
        <v>77</v>
      </c>
      <c r="D39" s="102" t="s">
        <v>110</v>
      </c>
      <c r="E39" s="301" t="s">
        <v>356</v>
      </c>
      <c r="F39" s="88" t="s">
        <v>217</v>
      </c>
      <c r="G39" s="303">
        <v>669.7</v>
      </c>
    </row>
    <row r="40" spans="1:7" hidden="1">
      <c r="A40" s="230" t="s">
        <v>221</v>
      </c>
      <c r="B40" s="228" t="s">
        <v>303</v>
      </c>
      <c r="C40" s="81" t="s">
        <v>77</v>
      </c>
      <c r="D40" s="102" t="s">
        <v>110</v>
      </c>
      <c r="E40" s="301" t="s">
        <v>356</v>
      </c>
      <c r="F40" s="88" t="s">
        <v>219</v>
      </c>
      <c r="G40" s="303">
        <f>81.6</f>
        <v>81.599999999999994</v>
      </c>
    </row>
    <row r="41" spans="1:7" hidden="1">
      <c r="A41" s="309" t="s">
        <v>95</v>
      </c>
      <c r="B41" s="308" t="s">
        <v>303</v>
      </c>
      <c r="C41" s="81" t="s">
        <v>77</v>
      </c>
      <c r="D41" s="102" t="s">
        <v>110</v>
      </c>
      <c r="E41" s="301" t="s">
        <v>356</v>
      </c>
      <c r="F41" s="88" t="s">
        <v>91</v>
      </c>
      <c r="G41" s="94">
        <v>43.3</v>
      </c>
    </row>
    <row r="42" spans="1:7" ht="38.25" hidden="1">
      <c r="A42" s="73" t="s">
        <v>83</v>
      </c>
      <c r="B42" s="179">
        <v>103</v>
      </c>
      <c r="C42" s="81" t="s">
        <v>77</v>
      </c>
      <c r="D42" s="81" t="s">
        <v>110</v>
      </c>
      <c r="E42" s="82" t="s">
        <v>84</v>
      </c>
      <c r="F42" s="82" t="s">
        <v>80</v>
      </c>
      <c r="G42" s="83">
        <f>G43</f>
        <v>11</v>
      </c>
    </row>
    <row r="43" spans="1:7" hidden="1">
      <c r="A43" s="91" t="s">
        <v>113</v>
      </c>
      <c r="B43" s="179">
        <v>103</v>
      </c>
      <c r="C43" s="88" t="s">
        <v>77</v>
      </c>
      <c r="D43" s="88" t="s">
        <v>110</v>
      </c>
      <c r="E43" s="92" t="s">
        <v>114</v>
      </c>
      <c r="F43" s="93" t="s">
        <v>80</v>
      </c>
      <c r="G43" s="94">
        <f>G44</f>
        <v>11</v>
      </c>
    </row>
    <row r="44" spans="1:7" hidden="1">
      <c r="A44" s="95" t="s">
        <v>221</v>
      </c>
      <c r="B44" s="179">
        <v>103</v>
      </c>
      <c r="C44" s="88" t="s">
        <v>77</v>
      </c>
      <c r="D44" s="88" t="s">
        <v>110</v>
      </c>
      <c r="E44" s="92" t="s">
        <v>114</v>
      </c>
      <c r="F44" s="93" t="s">
        <v>220</v>
      </c>
      <c r="G44" s="94">
        <v>11</v>
      </c>
    </row>
    <row r="45" spans="1:7" hidden="1">
      <c r="A45" s="95" t="s">
        <v>223</v>
      </c>
      <c r="B45" s="179">
        <v>103</v>
      </c>
      <c r="C45" s="74" t="s">
        <v>77</v>
      </c>
      <c r="D45" s="81" t="s">
        <v>110</v>
      </c>
      <c r="E45" s="93" t="s">
        <v>119</v>
      </c>
      <c r="F45" s="74" t="s">
        <v>80</v>
      </c>
      <c r="G45" s="75">
        <f>G46</f>
        <v>342.6</v>
      </c>
    </row>
    <row r="46" spans="1:7" hidden="1">
      <c r="A46" s="95" t="s">
        <v>115</v>
      </c>
      <c r="B46" s="179">
        <v>103</v>
      </c>
      <c r="C46" s="74" t="s">
        <v>77</v>
      </c>
      <c r="D46" s="81" t="s">
        <v>110</v>
      </c>
      <c r="E46" s="93" t="s">
        <v>189</v>
      </c>
      <c r="F46" s="93" t="s">
        <v>80</v>
      </c>
      <c r="G46" s="75">
        <f>G47</f>
        <v>342.6</v>
      </c>
    </row>
    <row r="47" spans="1:7" ht="38.25" hidden="1">
      <c r="A47" s="95" t="s">
        <v>218</v>
      </c>
      <c r="B47" s="179">
        <v>103</v>
      </c>
      <c r="C47" s="74" t="s">
        <v>77</v>
      </c>
      <c r="D47" s="81" t="s">
        <v>110</v>
      </c>
      <c r="E47" s="93" t="s">
        <v>189</v>
      </c>
      <c r="F47" s="88" t="s">
        <v>217</v>
      </c>
      <c r="G47" s="75">
        <v>342.6</v>
      </c>
    </row>
    <row r="48" spans="1:7" hidden="1">
      <c r="A48" s="118" t="s">
        <v>95</v>
      </c>
      <c r="B48" s="179">
        <v>103</v>
      </c>
      <c r="C48" s="82" t="s">
        <v>77</v>
      </c>
      <c r="D48" s="82" t="s">
        <v>110</v>
      </c>
      <c r="E48" s="82" t="s">
        <v>96</v>
      </c>
      <c r="F48" s="88" t="s">
        <v>80</v>
      </c>
      <c r="G48" s="83">
        <f>G49+G52+G55+G58+G61</f>
        <v>1031.6699999999998</v>
      </c>
    </row>
    <row r="49" spans="1:7" ht="25.5" hidden="1">
      <c r="A49" s="95" t="s">
        <v>224</v>
      </c>
      <c r="B49" s="179">
        <v>103</v>
      </c>
      <c r="C49" s="82" t="s">
        <v>77</v>
      </c>
      <c r="D49" s="82" t="s">
        <v>110</v>
      </c>
      <c r="E49" s="82" t="s">
        <v>120</v>
      </c>
      <c r="F49" s="82" t="s">
        <v>80</v>
      </c>
      <c r="G49" s="83">
        <f>G50+G51</f>
        <v>271.5</v>
      </c>
    </row>
    <row r="50" spans="1:7" ht="38.25" hidden="1">
      <c r="A50" s="95" t="s">
        <v>218</v>
      </c>
      <c r="B50" s="179">
        <v>103</v>
      </c>
      <c r="C50" s="82" t="s">
        <v>77</v>
      </c>
      <c r="D50" s="82" t="s">
        <v>110</v>
      </c>
      <c r="E50" s="82" t="s">
        <v>120</v>
      </c>
      <c r="F50" s="88" t="s">
        <v>217</v>
      </c>
      <c r="G50" s="83">
        <v>261.8</v>
      </c>
    </row>
    <row r="51" spans="1:7" hidden="1">
      <c r="A51" s="95" t="s">
        <v>221</v>
      </c>
      <c r="B51" s="179">
        <v>103</v>
      </c>
      <c r="C51" s="82" t="s">
        <v>77</v>
      </c>
      <c r="D51" s="82" t="s">
        <v>110</v>
      </c>
      <c r="E51" s="82" t="s">
        <v>120</v>
      </c>
      <c r="F51" s="88" t="s">
        <v>219</v>
      </c>
      <c r="G51" s="83">
        <v>9.6999999999999993</v>
      </c>
    </row>
    <row r="52" spans="1:7" ht="25.5" hidden="1">
      <c r="A52" s="95" t="s">
        <v>225</v>
      </c>
      <c r="B52" s="179">
        <v>103</v>
      </c>
      <c r="C52" s="82" t="s">
        <v>77</v>
      </c>
      <c r="D52" s="82" t="s">
        <v>110</v>
      </c>
      <c r="E52" s="82" t="s">
        <v>121</v>
      </c>
      <c r="F52" s="82" t="s">
        <v>80</v>
      </c>
      <c r="G52" s="83">
        <f>G53+G54</f>
        <v>243.89999999999998</v>
      </c>
    </row>
    <row r="53" spans="1:7" ht="38.25" hidden="1">
      <c r="A53" s="95" t="s">
        <v>218</v>
      </c>
      <c r="B53" s="179">
        <v>103</v>
      </c>
      <c r="C53" s="82" t="s">
        <v>77</v>
      </c>
      <c r="D53" s="82" t="s">
        <v>110</v>
      </c>
      <c r="E53" s="82" t="s">
        <v>121</v>
      </c>
      <c r="F53" s="88" t="s">
        <v>217</v>
      </c>
      <c r="G53" s="83">
        <v>231.7</v>
      </c>
    </row>
    <row r="54" spans="1:7" hidden="1">
      <c r="A54" s="95" t="s">
        <v>221</v>
      </c>
      <c r="B54" s="179">
        <v>103</v>
      </c>
      <c r="C54" s="82" t="s">
        <v>77</v>
      </c>
      <c r="D54" s="82" t="s">
        <v>110</v>
      </c>
      <c r="E54" s="82" t="s">
        <v>121</v>
      </c>
      <c r="F54" s="88" t="s">
        <v>219</v>
      </c>
      <c r="G54" s="83">
        <v>12.2</v>
      </c>
    </row>
    <row r="55" spans="1:7" ht="25.5" hidden="1">
      <c r="A55" s="95" t="s">
        <v>226</v>
      </c>
      <c r="B55" s="179">
        <v>103</v>
      </c>
      <c r="C55" s="82" t="s">
        <v>77</v>
      </c>
      <c r="D55" s="82" t="s">
        <v>110</v>
      </c>
      <c r="E55" s="82" t="s">
        <v>122</v>
      </c>
      <c r="F55" s="82" t="s">
        <v>80</v>
      </c>
      <c r="G55" s="83">
        <f>G56+G57</f>
        <v>474.9</v>
      </c>
    </row>
    <row r="56" spans="1:7" ht="38.25" hidden="1">
      <c r="A56" s="95" t="s">
        <v>218</v>
      </c>
      <c r="B56" s="179">
        <v>103</v>
      </c>
      <c r="C56" s="82" t="s">
        <v>77</v>
      </c>
      <c r="D56" s="82" t="s">
        <v>110</v>
      </c>
      <c r="E56" s="82" t="s">
        <v>122</v>
      </c>
      <c r="F56" s="88" t="s">
        <v>217</v>
      </c>
      <c r="G56" s="83">
        <f>445.3+6.7</f>
        <v>452</v>
      </c>
    </row>
    <row r="57" spans="1:7" hidden="1">
      <c r="A57" s="95" t="s">
        <v>221</v>
      </c>
      <c r="B57" s="179">
        <v>103</v>
      </c>
      <c r="C57" s="82" t="s">
        <v>77</v>
      </c>
      <c r="D57" s="82" t="s">
        <v>110</v>
      </c>
      <c r="E57" s="82" t="s">
        <v>122</v>
      </c>
      <c r="F57" s="88" t="s">
        <v>219</v>
      </c>
      <c r="G57" s="83">
        <v>22.9</v>
      </c>
    </row>
    <row r="58" spans="1:7" hidden="1">
      <c r="A58" s="95" t="s">
        <v>227</v>
      </c>
      <c r="B58" s="179">
        <v>103</v>
      </c>
      <c r="C58" s="82" t="s">
        <v>77</v>
      </c>
      <c r="D58" s="82" t="s">
        <v>110</v>
      </c>
      <c r="E58" s="82" t="s">
        <v>123</v>
      </c>
      <c r="F58" s="82" t="s">
        <v>80</v>
      </c>
      <c r="G58" s="83">
        <f>G59+G60</f>
        <v>41</v>
      </c>
    </row>
    <row r="59" spans="1:7" ht="38.25" hidden="1">
      <c r="A59" s="230" t="s">
        <v>218</v>
      </c>
      <c r="B59" s="180">
        <v>103</v>
      </c>
      <c r="C59" s="82" t="s">
        <v>77</v>
      </c>
      <c r="D59" s="82" t="s">
        <v>110</v>
      </c>
      <c r="E59" s="82" t="s">
        <v>123</v>
      </c>
      <c r="F59" s="88" t="s">
        <v>217</v>
      </c>
      <c r="G59" s="83">
        <v>1</v>
      </c>
    </row>
    <row r="60" spans="1:7" hidden="1">
      <c r="A60" s="230" t="s">
        <v>221</v>
      </c>
      <c r="B60" s="180">
        <v>103</v>
      </c>
      <c r="C60" s="82" t="s">
        <v>77</v>
      </c>
      <c r="D60" s="82" t="s">
        <v>110</v>
      </c>
      <c r="E60" s="82" t="s">
        <v>123</v>
      </c>
      <c r="F60" s="88" t="s">
        <v>219</v>
      </c>
      <c r="G60" s="83">
        <v>40</v>
      </c>
    </row>
    <row r="61" spans="1:7" ht="38.25" hidden="1">
      <c r="A61" s="256" t="s">
        <v>319</v>
      </c>
      <c r="B61" s="182" t="s">
        <v>303</v>
      </c>
      <c r="C61" s="88" t="s">
        <v>77</v>
      </c>
      <c r="D61" s="88" t="s">
        <v>110</v>
      </c>
      <c r="E61" s="88" t="s">
        <v>318</v>
      </c>
      <c r="F61" s="88" t="s">
        <v>80</v>
      </c>
      <c r="G61" s="83">
        <f>G62</f>
        <v>0.37</v>
      </c>
    </row>
    <row r="62" spans="1:7" hidden="1">
      <c r="A62" s="230" t="s">
        <v>221</v>
      </c>
      <c r="B62" s="182" t="s">
        <v>303</v>
      </c>
      <c r="C62" s="88" t="s">
        <v>77</v>
      </c>
      <c r="D62" s="88" t="s">
        <v>110</v>
      </c>
      <c r="E62" s="88" t="s">
        <v>318</v>
      </c>
      <c r="F62" s="88" t="s">
        <v>219</v>
      </c>
      <c r="G62" s="83">
        <v>0.37</v>
      </c>
    </row>
    <row r="63" spans="1:7" hidden="1">
      <c r="A63" s="240" t="s">
        <v>124</v>
      </c>
      <c r="B63" s="237">
        <v>103</v>
      </c>
      <c r="C63" s="238" t="s">
        <v>82</v>
      </c>
      <c r="D63" s="238" t="s">
        <v>78</v>
      </c>
      <c r="E63" s="239" t="s">
        <v>79</v>
      </c>
      <c r="F63" s="239" t="s">
        <v>80</v>
      </c>
      <c r="G63" s="242">
        <f>G64</f>
        <v>1215.5999999999999</v>
      </c>
    </row>
    <row r="64" spans="1:7" hidden="1">
      <c r="A64" s="84" t="s">
        <v>111</v>
      </c>
      <c r="B64" s="179">
        <v>103</v>
      </c>
      <c r="C64" s="81" t="s">
        <v>82</v>
      </c>
      <c r="D64" s="81" t="s">
        <v>87</v>
      </c>
      <c r="E64" s="82" t="s">
        <v>112</v>
      </c>
      <c r="F64" s="82" t="s">
        <v>80</v>
      </c>
      <c r="G64" s="83">
        <f>G65</f>
        <v>1215.5999999999999</v>
      </c>
    </row>
    <row r="65" spans="1:7" ht="25.5" hidden="1">
      <c r="A65" s="84" t="s">
        <v>125</v>
      </c>
      <c r="B65" s="179">
        <v>103</v>
      </c>
      <c r="C65" s="81" t="s">
        <v>82</v>
      </c>
      <c r="D65" s="81" t="s">
        <v>87</v>
      </c>
      <c r="E65" s="88" t="s">
        <v>228</v>
      </c>
      <c r="F65" s="82" t="s">
        <v>80</v>
      </c>
      <c r="G65" s="83">
        <f>G66</f>
        <v>1215.5999999999999</v>
      </c>
    </row>
    <row r="66" spans="1:7" hidden="1">
      <c r="A66" s="118" t="s">
        <v>95</v>
      </c>
      <c r="B66" s="179">
        <v>103</v>
      </c>
      <c r="C66" s="81" t="s">
        <v>82</v>
      </c>
      <c r="D66" s="81" t="s">
        <v>87</v>
      </c>
      <c r="E66" s="88" t="s">
        <v>228</v>
      </c>
      <c r="F66" s="88" t="s">
        <v>91</v>
      </c>
      <c r="G66" s="83">
        <v>1215.5999999999999</v>
      </c>
    </row>
    <row r="67" spans="1:7" hidden="1">
      <c r="A67" s="240" t="s">
        <v>321</v>
      </c>
      <c r="B67" s="241">
        <v>103</v>
      </c>
      <c r="C67" s="238" t="s">
        <v>93</v>
      </c>
      <c r="D67" s="238" t="s">
        <v>78</v>
      </c>
      <c r="E67" s="239" t="s">
        <v>79</v>
      </c>
      <c r="F67" s="239" t="s">
        <v>80</v>
      </c>
      <c r="G67" s="242">
        <f>G68+G72</f>
        <v>14592</v>
      </c>
    </row>
    <row r="68" spans="1:7" hidden="1">
      <c r="A68" s="84" t="s">
        <v>322</v>
      </c>
      <c r="B68" s="179">
        <v>103</v>
      </c>
      <c r="C68" s="81" t="s">
        <v>93</v>
      </c>
      <c r="D68" s="81" t="s">
        <v>323</v>
      </c>
      <c r="E68" s="82" t="s">
        <v>79</v>
      </c>
      <c r="F68" s="82" t="s">
        <v>80</v>
      </c>
      <c r="G68" s="83">
        <f>G69</f>
        <v>692</v>
      </c>
    </row>
    <row r="69" spans="1:7" hidden="1">
      <c r="A69" s="84" t="s">
        <v>95</v>
      </c>
      <c r="B69" s="179">
        <v>103</v>
      </c>
      <c r="C69" s="81" t="s">
        <v>93</v>
      </c>
      <c r="D69" s="81" t="s">
        <v>323</v>
      </c>
      <c r="E69" s="82" t="s">
        <v>96</v>
      </c>
      <c r="F69" s="82" t="s">
        <v>80</v>
      </c>
      <c r="G69" s="83">
        <f>G70</f>
        <v>692</v>
      </c>
    </row>
    <row r="70" spans="1:7" ht="38.25" hidden="1">
      <c r="A70" s="84" t="s">
        <v>324</v>
      </c>
      <c r="B70" s="179">
        <v>103</v>
      </c>
      <c r="C70" s="81" t="s">
        <v>93</v>
      </c>
      <c r="D70" s="81" t="s">
        <v>323</v>
      </c>
      <c r="E70" s="82" t="s">
        <v>325</v>
      </c>
      <c r="F70" s="82" t="s">
        <v>80</v>
      </c>
      <c r="G70" s="83">
        <f>G71</f>
        <v>692</v>
      </c>
    </row>
    <row r="71" spans="1:7" hidden="1">
      <c r="A71" s="118" t="s">
        <v>221</v>
      </c>
      <c r="B71" s="179">
        <v>103</v>
      </c>
      <c r="C71" s="81" t="s">
        <v>133</v>
      </c>
      <c r="D71" s="81" t="s">
        <v>326</v>
      </c>
      <c r="E71" s="82" t="s">
        <v>325</v>
      </c>
      <c r="F71" s="88" t="s">
        <v>219</v>
      </c>
      <c r="G71" s="83">
        <f>108.2+583.8</f>
        <v>692</v>
      </c>
    </row>
    <row r="72" spans="1:7" hidden="1">
      <c r="A72" s="294" t="s">
        <v>329</v>
      </c>
      <c r="B72" s="285" t="s">
        <v>303</v>
      </c>
      <c r="C72" s="286" t="s">
        <v>93</v>
      </c>
      <c r="D72" s="286" t="s">
        <v>128</v>
      </c>
      <c r="E72" s="287" t="s">
        <v>79</v>
      </c>
      <c r="F72" s="287" t="s">
        <v>80</v>
      </c>
      <c r="G72" s="288">
        <f>G73</f>
        <v>13900</v>
      </c>
    </row>
    <row r="73" spans="1:7" hidden="1">
      <c r="A73" s="118" t="s">
        <v>331</v>
      </c>
      <c r="B73" s="186" t="s">
        <v>303</v>
      </c>
      <c r="C73" s="102" t="s">
        <v>93</v>
      </c>
      <c r="D73" s="102" t="s">
        <v>128</v>
      </c>
      <c r="E73" s="88" t="s">
        <v>330</v>
      </c>
      <c r="F73" s="88" t="s">
        <v>80</v>
      </c>
      <c r="G73" s="83">
        <f>G74</f>
        <v>13900</v>
      </c>
    </row>
    <row r="74" spans="1:7" hidden="1">
      <c r="A74" s="118" t="s">
        <v>333</v>
      </c>
      <c r="B74" s="186" t="s">
        <v>303</v>
      </c>
      <c r="C74" s="102" t="s">
        <v>93</v>
      </c>
      <c r="D74" s="102" t="s">
        <v>128</v>
      </c>
      <c r="E74" s="88" t="s">
        <v>332</v>
      </c>
      <c r="F74" s="88" t="s">
        <v>80</v>
      </c>
      <c r="G74" s="83">
        <f>G75</f>
        <v>13900</v>
      </c>
    </row>
    <row r="75" spans="1:7" hidden="1">
      <c r="A75" s="95" t="s">
        <v>221</v>
      </c>
      <c r="B75" s="186" t="s">
        <v>303</v>
      </c>
      <c r="C75" s="102" t="s">
        <v>93</v>
      </c>
      <c r="D75" s="102" t="s">
        <v>128</v>
      </c>
      <c r="E75" s="88" t="s">
        <v>332</v>
      </c>
      <c r="F75" s="88" t="s">
        <v>219</v>
      </c>
      <c r="G75" s="83">
        <v>13900</v>
      </c>
    </row>
    <row r="76" spans="1:7" hidden="1">
      <c r="A76" s="103" t="s">
        <v>135</v>
      </c>
      <c r="B76" s="188" t="s">
        <v>303</v>
      </c>
      <c r="C76" s="97" t="s">
        <v>102</v>
      </c>
      <c r="D76" s="97" t="s">
        <v>78</v>
      </c>
      <c r="E76" s="101" t="s">
        <v>79</v>
      </c>
      <c r="F76" s="98" t="s">
        <v>80</v>
      </c>
      <c r="G76" s="99">
        <f>G77</f>
        <v>3586</v>
      </c>
    </row>
    <row r="77" spans="1:7" hidden="1">
      <c r="A77" s="70" t="s">
        <v>136</v>
      </c>
      <c r="B77" s="177" t="s">
        <v>303</v>
      </c>
      <c r="C77" s="278" t="s">
        <v>102</v>
      </c>
      <c r="D77" s="278" t="s">
        <v>87</v>
      </c>
      <c r="E77" s="279" t="s">
        <v>79</v>
      </c>
      <c r="F77" s="280" t="s">
        <v>80</v>
      </c>
      <c r="G77" s="80">
        <f>G78</f>
        <v>3586</v>
      </c>
    </row>
    <row r="78" spans="1:7" ht="25.5" hidden="1">
      <c r="A78" s="104" t="s">
        <v>137</v>
      </c>
      <c r="B78" s="189" t="s">
        <v>303</v>
      </c>
      <c r="C78" s="102" t="s">
        <v>102</v>
      </c>
      <c r="D78" s="102" t="s">
        <v>87</v>
      </c>
      <c r="E78" s="93" t="s">
        <v>138</v>
      </c>
      <c r="F78" s="88" t="s">
        <v>80</v>
      </c>
      <c r="G78" s="83">
        <f>G79</f>
        <v>3586</v>
      </c>
    </row>
    <row r="79" spans="1:7" hidden="1">
      <c r="A79" s="104" t="s">
        <v>139</v>
      </c>
      <c r="B79" s="189" t="s">
        <v>303</v>
      </c>
      <c r="C79" s="102" t="s">
        <v>102</v>
      </c>
      <c r="D79" s="102" t="s">
        <v>87</v>
      </c>
      <c r="E79" s="93" t="s">
        <v>140</v>
      </c>
      <c r="F79" s="88" t="s">
        <v>80</v>
      </c>
      <c r="G79" s="83">
        <f>G80</f>
        <v>3586</v>
      </c>
    </row>
    <row r="80" spans="1:7" hidden="1">
      <c r="A80" s="104" t="s">
        <v>141</v>
      </c>
      <c r="B80" s="189" t="s">
        <v>303</v>
      </c>
      <c r="C80" s="102" t="s">
        <v>102</v>
      </c>
      <c r="D80" s="102" t="s">
        <v>87</v>
      </c>
      <c r="E80" s="93" t="s">
        <v>142</v>
      </c>
      <c r="F80" s="88" t="s">
        <v>80</v>
      </c>
      <c r="G80" s="83">
        <f>G81</f>
        <v>3586</v>
      </c>
    </row>
    <row r="81" spans="1:7" hidden="1">
      <c r="A81" s="95" t="s">
        <v>221</v>
      </c>
      <c r="B81" s="189" t="s">
        <v>303</v>
      </c>
      <c r="C81" s="102" t="s">
        <v>102</v>
      </c>
      <c r="D81" s="102" t="s">
        <v>87</v>
      </c>
      <c r="E81" s="93" t="s">
        <v>142</v>
      </c>
      <c r="F81" s="88" t="s">
        <v>219</v>
      </c>
      <c r="G81" s="83">
        <v>3586</v>
      </c>
    </row>
    <row r="82" spans="1:7" hidden="1">
      <c r="A82" s="103" t="s">
        <v>197</v>
      </c>
      <c r="B82" s="188" t="s">
        <v>303</v>
      </c>
      <c r="C82" s="98" t="s">
        <v>128</v>
      </c>
      <c r="D82" s="98" t="s">
        <v>78</v>
      </c>
      <c r="E82" s="98" t="s">
        <v>79</v>
      </c>
      <c r="F82" s="98" t="s">
        <v>80</v>
      </c>
      <c r="G82" s="99">
        <f>G84</f>
        <v>240.4</v>
      </c>
    </row>
    <row r="83" spans="1:7" hidden="1">
      <c r="A83" s="73" t="s">
        <v>198</v>
      </c>
      <c r="B83" s="185" t="s">
        <v>303</v>
      </c>
      <c r="C83" s="82" t="s">
        <v>128</v>
      </c>
      <c r="D83" s="82" t="s">
        <v>144</v>
      </c>
      <c r="E83" s="82" t="s">
        <v>79</v>
      </c>
      <c r="F83" s="82" t="s">
        <v>80</v>
      </c>
      <c r="G83" s="83">
        <f>G84</f>
        <v>240.4</v>
      </c>
    </row>
    <row r="84" spans="1:7" hidden="1">
      <c r="A84" s="84" t="s">
        <v>95</v>
      </c>
      <c r="B84" s="185" t="s">
        <v>303</v>
      </c>
      <c r="C84" s="82" t="s">
        <v>128</v>
      </c>
      <c r="D84" s="82" t="s">
        <v>144</v>
      </c>
      <c r="E84" s="82" t="s">
        <v>96</v>
      </c>
      <c r="F84" s="82" t="s">
        <v>80</v>
      </c>
      <c r="G84" s="83">
        <f>G85</f>
        <v>240.4</v>
      </c>
    </row>
    <row r="85" spans="1:7" ht="89.25" hidden="1">
      <c r="A85" s="110" t="s">
        <v>199</v>
      </c>
      <c r="B85" s="185" t="s">
        <v>303</v>
      </c>
      <c r="C85" s="82" t="s">
        <v>128</v>
      </c>
      <c r="D85" s="82" t="s">
        <v>144</v>
      </c>
      <c r="E85" s="82" t="s">
        <v>200</v>
      </c>
      <c r="F85" s="82" t="s">
        <v>80</v>
      </c>
      <c r="G85" s="83">
        <f>G86</f>
        <v>240.4</v>
      </c>
    </row>
    <row r="86" spans="1:7" hidden="1">
      <c r="A86" s="95" t="s">
        <v>221</v>
      </c>
      <c r="B86" s="185" t="s">
        <v>303</v>
      </c>
      <c r="C86" s="82" t="s">
        <v>128</v>
      </c>
      <c r="D86" s="82" t="s">
        <v>144</v>
      </c>
      <c r="E86" s="82" t="s">
        <v>200</v>
      </c>
      <c r="F86" s="88" t="s">
        <v>219</v>
      </c>
      <c r="G86" s="83">
        <v>240.4</v>
      </c>
    </row>
    <row r="87" spans="1:7" ht="51" hidden="1" customHeight="1">
      <c r="A87" s="211" t="s">
        <v>309</v>
      </c>
      <c r="B87" s="213" t="s">
        <v>302</v>
      </c>
      <c r="C87" s="210" t="s">
        <v>78</v>
      </c>
      <c r="D87" s="210" t="s">
        <v>78</v>
      </c>
      <c r="E87" s="210" t="s">
        <v>79</v>
      </c>
      <c r="F87" s="210" t="s">
        <v>80</v>
      </c>
      <c r="G87" s="212">
        <f>G89</f>
        <v>1065</v>
      </c>
    </row>
    <row r="88" spans="1:7" ht="51" hidden="1" customHeight="1">
      <c r="A88" s="165" t="s">
        <v>76</v>
      </c>
      <c r="B88" s="174" t="s">
        <v>302</v>
      </c>
      <c r="C88" s="166" t="s">
        <v>77</v>
      </c>
      <c r="D88" s="166" t="s">
        <v>78</v>
      </c>
      <c r="E88" s="166" t="s">
        <v>79</v>
      </c>
      <c r="F88" s="167" t="s">
        <v>80</v>
      </c>
      <c r="G88" s="231">
        <f>G89</f>
        <v>1065</v>
      </c>
    </row>
    <row r="89" spans="1:7" ht="25.5" hidden="1">
      <c r="A89" s="173" t="s">
        <v>101</v>
      </c>
      <c r="B89" s="183" t="s">
        <v>302</v>
      </c>
      <c r="C89" s="90" t="s">
        <v>77</v>
      </c>
      <c r="D89" s="90" t="s">
        <v>102</v>
      </c>
      <c r="E89" s="79" t="s">
        <v>79</v>
      </c>
      <c r="F89" s="79" t="s">
        <v>80</v>
      </c>
      <c r="G89" s="80">
        <f>G90</f>
        <v>1065</v>
      </c>
    </row>
    <row r="90" spans="1:7" ht="38.25" hidden="1">
      <c r="A90" s="158" t="s">
        <v>83</v>
      </c>
      <c r="B90" s="184" t="s">
        <v>302</v>
      </c>
      <c r="C90" s="81" t="s">
        <v>77</v>
      </c>
      <c r="D90" s="81" t="s">
        <v>102</v>
      </c>
      <c r="E90" s="82" t="s">
        <v>84</v>
      </c>
      <c r="F90" s="82" t="s">
        <v>80</v>
      </c>
      <c r="G90" s="83">
        <f>G91</f>
        <v>1065</v>
      </c>
    </row>
    <row r="91" spans="1:7" hidden="1">
      <c r="A91" s="171" t="s">
        <v>94</v>
      </c>
      <c r="B91" s="182" t="s">
        <v>302</v>
      </c>
      <c r="C91" s="81" t="s">
        <v>77</v>
      </c>
      <c r="D91" s="81" t="s">
        <v>102</v>
      </c>
      <c r="E91" s="82" t="s">
        <v>89</v>
      </c>
      <c r="F91" s="82" t="s">
        <v>80</v>
      </c>
      <c r="G91" s="83">
        <f>G92+G93+G94</f>
        <v>1065</v>
      </c>
    </row>
    <row r="92" spans="1:7" ht="38.25" hidden="1">
      <c r="A92" s="256" t="s">
        <v>218</v>
      </c>
      <c r="B92" s="181" t="s">
        <v>302</v>
      </c>
      <c r="C92" s="81" t="s">
        <v>77</v>
      </c>
      <c r="D92" s="81" t="s">
        <v>102</v>
      </c>
      <c r="E92" s="82" t="s">
        <v>89</v>
      </c>
      <c r="F92" s="88" t="s">
        <v>217</v>
      </c>
      <c r="G92" s="83">
        <v>824.6</v>
      </c>
    </row>
    <row r="93" spans="1:7" hidden="1">
      <c r="A93" s="230" t="s">
        <v>221</v>
      </c>
      <c r="B93" s="181" t="s">
        <v>302</v>
      </c>
      <c r="C93" s="81" t="s">
        <v>77</v>
      </c>
      <c r="D93" s="81" t="s">
        <v>102</v>
      </c>
      <c r="E93" s="82" t="s">
        <v>89</v>
      </c>
      <c r="F93" s="88" t="s">
        <v>219</v>
      </c>
      <c r="G93" s="83">
        <f>231.9</f>
        <v>231.9</v>
      </c>
    </row>
    <row r="94" spans="1:7" hidden="1">
      <c r="A94" s="95" t="s">
        <v>222</v>
      </c>
      <c r="B94" s="181" t="s">
        <v>302</v>
      </c>
      <c r="C94" s="81" t="s">
        <v>77</v>
      </c>
      <c r="D94" s="81" t="s">
        <v>102</v>
      </c>
      <c r="E94" s="82" t="s">
        <v>89</v>
      </c>
      <c r="F94" s="88" t="s">
        <v>220</v>
      </c>
      <c r="G94" s="83">
        <f>8.5</f>
        <v>8.5</v>
      </c>
    </row>
    <row r="95" spans="1:7" ht="25.5" hidden="1">
      <c r="A95" s="215" t="s">
        <v>315</v>
      </c>
      <c r="B95" s="213" t="s">
        <v>320</v>
      </c>
      <c r="C95" s="205" t="s">
        <v>78</v>
      </c>
      <c r="D95" s="205" t="s">
        <v>78</v>
      </c>
      <c r="E95" s="205" t="s">
        <v>79</v>
      </c>
      <c r="F95" s="205" t="s">
        <v>80</v>
      </c>
      <c r="G95" s="206">
        <f>G98</f>
        <v>2931.9</v>
      </c>
    </row>
    <row r="96" spans="1:7" hidden="1">
      <c r="A96" s="165" t="s">
        <v>76</v>
      </c>
      <c r="B96" s="174" t="s">
        <v>320</v>
      </c>
      <c r="C96" s="166" t="s">
        <v>77</v>
      </c>
      <c r="D96" s="166" t="s">
        <v>78</v>
      </c>
      <c r="E96" s="166" t="s">
        <v>79</v>
      </c>
      <c r="F96" s="167" t="s">
        <v>80</v>
      </c>
      <c r="G96" s="231">
        <f>G98</f>
        <v>2931.9</v>
      </c>
    </row>
    <row r="97" spans="1:7" hidden="1">
      <c r="A97" s="89" t="s">
        <v>109</v>
      </c>
      <c r="B97" s="178" t="s">
        <v>320</v>
      </c>
      <c r="C97" s="90" t="s">
        <v>77</v>
      </c>
      <c r="D97" s="90" t="s">
        <v>110</v>
      </c>
      <c r="E97" s="79" t="s">
        <v>79</v>
      </c>
      <c r="F97" s="79" t="s">
        <v>80</v>
      </c>
      <c r="G97" s="80">
        <f>G98</f>
        <v>2931.9</v>
      </c>
    </row>
    <row r="98" spans="1:7" ht="38.25" hidden="1">
      <c r="A98" s="73" t="s">
        <v>83</v>
      </c>
      <c r="B98" s="183" t="s">
        <v>320</v>
      </c>
      <c r="C98" s="81" t="s">
        <v>77</v>
      </c>
      <c r="D98" s="81" t="s">
        <v>110</v>
      </c>
      <c r="E98" s="82" t="s">
        <v>84</v>
      </c>
      <c r="F98" s="82" t="s">
        <v>80</v>
      </c>
      <c r="G98" s="83">
        <f>G99+G103</f>
        <v>2931.9</v>
      </c>
    </row>
    <row r="99" spans="1:7" hidden="1">
      <c r="A99" s="84" t="s">
        <v>94</v>
      </c>
      <c r="B99" s="184" t="s">
        <v>320</v>
      </c>
      <c r="C99" s="81" t="s">
        <v>77</v>
      </c>
      <c r="D99" s="81" t="s">
        <v>110</v>
      </c>
      <c r="E99" s="82" t="s">
        <v>89</v>
      </c>
      <c r="F99" s="82" t="s">
        <v>80</v>
      </c>
      <c r="G99" s="83">
        <f>G100+G101+G102</f>
        <v>2919.9</v>
      </c>
    </row>
    <row r="100" spans="1:7" ht="25.5" hidden="1" customHeight="1">
      <c r="A100" s="256" t="s">
        <v>218</v>
      </c>
      <c r="B100" s="182" t="s">
        <v>320</v>
      </c>
      <c r="C100" s="81" t="s">
        <v>77</v>
      </c>
      <c r="D100" s="102" t="s">
        <v>110</v>
      </c>
      <c r="E100" s="82" t="s">
        <v>89</v>
      </c>
      <c r="F100" s="88" t="s">
        <v>217</v>
      </c>
      <c r="G100" s="83">
        <f>80+1416</f>
        <v>1496</v>
      </c>
    </row>
    <row r="101" spans="1:7" hidden="1">
      <c r="A101" s="95" t="s">
        <v>221</v>
      </c>
      <c r="B101" s="182" t="s">
        <v>320</v>
      </c>
      <c r="C101" s="81" t="s">
        <v>77</v>
      </c>
      <c r="D101" s="102" t="s">
        <v>110</v>
      </c>
      <c r="E101" s="82" t="s">
        <v>89</v>
      </c>
      <c r="F101" s="88" t="s">
        <v>219</v>
      </c>
      <c r="G101" s="83">
        <f>1391+20.9</f>
        <v>1411.9</v>
      </c>
    </row>
    <row r="102" spans="1:7" hidden="1">
      <c r="A102" s="95" t="s">
        <v>222</v>
      </c>
      <c r="B102" s="182" t="s">
        <v>320</v>
      </c>
      <c r="C102" s="81" t="s">
        <v>77</v>
      </c>
      <c r="D102" s="102" t="s">
        <v>110</v>
      </c>
      <c r="E102" s="82" t="s">
        <v>89</v>
      </c>
      <c r="F102" s="88" t="s">
        <v>220</v>
      </c>
      <c r="G102" s="83">
        <v>12</v>
      </c>
    </row>
    <row r="103" spans="1:7" hidden="1">
      <c r="A103" s="91" t="s">
        <v>113</v>
      </c>
      <c r="B103" s="182" t="s">
        <v>320</v>
      </c>
      <c r="C103" s="88" t="s">
        <v>77</v>
      </c>
      <c r="D103" s="88" t="s">
        <v>110</v>
      </c>
      <c r="E103" s="92" t="s">
        <v>114</v>
      </c>
      <c r="F103" s="93" t="s">
        <v>80</v>
      </c>
      <c r="G103" s="94">
        <f>G104</f>
        <v>12</v>
      </c>
    </row>
    <row r="104" spans="1:7" hidden="1">
      <c r="A104" s="95" t="s">
        <v>221</v>
      </c>
      <c r="B104" s="182" t="s">
        <v>320</v>
      </c>
      <c r="C104" s="88" t="s">
        <v>77</v>
      </c>
      <c r="D104" s="88" t="s">
        <v>110</v>
      </c>
      <c r="E104" s="92" t="s">
        <v>114</v>
      </c>
      <c r="F104" s="93" t="s">
        <v>220</v>
      </c>
      <c r="G104" s="94">
        <v>12</v>
      </c>
    </row>
    <row r="105" spans="1:7" ht="25.5" hidden="1" customHeight="1">
      <c r="A105" s="203" t="s">
        <v>307</v>
      </c>
      <c r="B105" s="204" t="s">
        <v>306</v>
      </c>
      <c r="C105" s="205" t="s">
        <v>78</v>
      </c>
      <c r="D105" s="205" t="s">
        <v>78</v>
      </c>
      <c r="E105" s="205" t="s">
        <v>79</v>
      </c>
      <c r="F105" s="205" t="s">
        <v>80</v>
      </c>
      <c r="G105" s="206">
        <f>G106</f>
        <v>730.5</v>
      </c>
    </row>
    <row r="106" spans="1:7" hidden="1">
      <c r="A106" s="100" t="s">
        <v>126</v>
      </c>
      <c r="B106" s="188" t="s">
        <v>306</v>
      </c>
      <c r="C106" s="101" t="s">
        <v>87</v>
      </c>
      <c r="D106" s="97" t="s">
        <v>78</v>
      </c>
      <c r="E106" s="101" t="s">
        <v>79</v>
      </c>
      <c r="F106" s="101" t="s">
        <v>80</v>
      </c>
      <c r="G106" s="99">
        <f>G107</f>
        <v>730.5</v>
      </c>
    </row>
    <row r="107" spans="1:7" ht="25.5" hidden="1">
      <c r="A107" s="73" t="s">
        <v>127</v>
      </c>
      <c r="B107" s="185" t="s">
        <v>306</v>
      </c>
      <c r="C107" s="93" t="s">
        <v>87</v>
      </c>
      <c r="D107" s="102" t="s">
        <v>128</v>
      </c>
      <c r="E107" s="93" t="s">
        <v>79</v>
      </c>
      <c r="F107" s="93" t="s">
        <v>80</v>
      </c>
      <c r="G107" s="83">
        <f>G108</f>
        <v>730.5</v>
      </c>
    </row>
    <row r="108" spans="1:7" ht="38.25" hidden="1" customHeight="1">
      <c r="A108" s="73" t="s">
        <v>129</v>
      </c>
      <c r="B108" s="185" t="s">
        <v>306</v>
      </c>
      <c r="C108" s="93" t="s">
        <v>87</v>
      </c>
      <c r="D108" s="102" t="s">
        <v>128</v>
      </c>
      <c r="E108" s="93" t="s">
        <v>130</v>
      </c>
      <c r="F108" s="93" t="s">
        <v>80</v>
      </c>
      <c r="G108" s="83">
        <f>G109</f>
        <v>730.5</v>
      </c>
    </row>
    <row r="109" spans="1:7" ht="25.5" hidden="1">
      <c r="A109" s="73" t="s">
        <v>131</v>
      </c>
      <c r="B109" s="185" t="s">
        <v>306</v>
      </c>
      <c r="C109" s="93" t="s">
        <v>87</v>
      </c>
      <c r="D109" s="102" t="s">
        <v>128</v>
      </c>
      <c r="E109" s="93" t="s">
        <v>132</v>
      </c>
      <c r="F109" s="93" t="s">
        <v>80</v>
      </c>
      <c r="G109" s="83">
        <f>G110</f>
        <v>730.5</v>
      </c>
    </row>
    <row r="110" spans="1:7" ht="38.25" hidden="1">
      <c r="A110" s="230" t="s">
        <v>218</v>
      </c>
      <c r="B110" s="181" t="s">
        <v>306</v>
      </c>
      <c r="C110" s="93" t="s">
        <v>87</v>
      </c>
      <c r="D110" s="102" t="s">
        <v>128</v>
      </c>
      <c r="E110" s="93" t="s">
        <v>132</v>
      </c>
      <c r="F110" s="93" t="s">
        <v>217</v>
      </c>
      <c r="G110" s="83">
        <v>730.5</v>
      </c>
    </row>
    <row r="111" spans="1:7" ht="25.5" hidden="1">
      <c r="A111" s="232" t="s">
        <v>310</v>
      </c>
      <c r="B111" s="216" t="s">
        <v>304</v>
      </c>
      <c r="C111" s="205" t="s">
        <v>78</v>
      </c>
      <c r="D111" s="205" t="s">
        <v>78</v>
      </c>
      <c r="E111" s="205" t="s">
        <v>79</v>
      </c>
      <c r="F111" s="205" t="s">
        <v>80</v>
      </c>
      <c r="G111" s="206">
        <f>G112+G121+G169</f>
        <v>331926.90000000008</v>
      </c>
    </row>
    <row r="112" spans="1:7" hidden="1">
      <c r="A112" s="257" t="s">
        <v>76</v>
      </c>
      <c r="B112" s="218" t="s">
        <v>304</v>
      </c>
      <c r="C112" s="101" t="s">
        <v>77</v>
      </c>
      <c r="D112" s="101" t="s">
        <v>78</v>
      </c>
      <c r="E112" s="101" t="s">
        <v>79</v>
      </c>
      <c r="F112" s="98" t="s">
        <v>80</v>
      </c>
      <c r="G112" s="258">
        <f>G113</f>
        <v>1250.4000000000001</v>
      </c>
    </row>
    <row r="113" spans="1:7" ht="38.25" hidden="1">
      <c r="A113" s="70" t="s">
        <v>92</v>
      </c>
      <c r="B113" s="219" t="s">
        <v>304</v>
      </c>
      <c r="C113" s="78" t="s">
        <v>77</v>
      </c>
      <c r="D113" s="78" t="s">
        <v>93</v>
      </c>
      <c r="E113" s="76" t="s">
        <v>79</v>
      </c>
      <c r="F113" s="79" t="s">
        <v>80</v>
      </c>
      <c r="G113" s="80">
        <f>G114+G118</f>
        <v>1250.4000000000001</v>
      </c>
    </row>
    <row r="114" spans="1:7" ht="38.25" hidden="1">
      <c r="A114" s="73" t="s">
        <v>83</v>
      </c>
      <c r="B114" s="185" t="s">
        <v>304</v>
      </c>
      <c r="C114" s="81" t="s">
        <v>77</v>
      </c>
      <c r="D114" s="81" t="s">
        <v>93</v>
      </c>
      <c r="E114" s="82" t="s">
        <v>84</v>
      </c>
      <c r="F114" s="82" t="s">
        <v>80</v>
      </c>
      <c r="G114" s="83">
        <f>G115</f>
        <v>995.90000000000009</v>
      </c>
    </row>
    <row r="115" spans="1:7" hidden="1">
      <c r="A115" s="84" t="s">
        <v>94</v>
      </c>
      <c r="B115" s="185" t="s">
        <v>304</v>
      </c>
      <c r="C115" s="81" t="s">
        <v>77</v>
      </c>
      <c r="D115" s="81" t="s">
        <v>93</v>
      </c>
      <c r="E115" s="82" t="s">
        <v>89</v>
      </c>
      <c r="F115" s="82" t="s">
        <v>80</v>
      </c>
      <c r="G115" s="83">
        <f>G116+G117</f>
        <v>995.90000000000009</v>
      </c>
    </row>
    <row r="116" spans="1:7" hidden="1">
      <c r="A116" s="84" t="s">
        <v>90</v>
      </c>
      <c r="B116" s="185" t="s">
        <v>304</v>
      </c>
      <c r="C116" s="81" t="s">
        <v>77</v>
      </c>
      <c r="D116" s="81" t="s">
        <v>93</v>
      </c>
      <c r="E116" s="82" t="s">
        <v>89</v>
      </c>
      <c r="F116" s="88" t="s">
        <v>217</v>
      </c>
      <c r="G116" s="85">
        <f>40+910.2</f>
        <v>950.2</v>
      </c>
    </row>
    <row r="117" spans="1:7" hidden="1">
      <c r="A117" s="95" t="s">
        <v>221</v>
      </c>
      <c r="B117" s="185" t="s">
        <v>304</v>
      </c>
      <c r="C117" s="81" t="s">
        <v>77</v>
      </c>
      <c r="D117" s="81" t="s">
        <v>93</v>
      </c>
      <c r="E117" s="82" t="s">
        <v>89</v>
      </c>
      <c r="F117" s="88" t="s">
        <v>219</v>
      </c>
      <c r="G117" s="85">
        <v>45.7</v>
      </c>
    </row>
    <row r="118" spans="1:7" hidden="1">
      <c r="A118" s="118" t="s">
        <v>95</v>
      </c>
      <c r="B118" s="186" t="s">
        <v>304</v>
      </c>
      <c r="C118" s="82" t="s">
        <v>77</v>
      </c>
      <c r="D118" s="88" t="s">
        <v>93</v>
      </c>
      <c r="E118" s="82" t="s">
        <v>96</v>
      </c>
      <c r="F118" s="88" t="s">
        <v>80</v>
      </c>
      <c r="G118" s="83">
        <f>G119</f>
        <v>254.5</v>
      </c>
    </row>
    <row r="119" spans="1:7" hidden="1">
      <c r="A119" s="172" t="s">
        <v>99</v>
      </c>
      <c r="B119" s="182" t="s">
        <v>304</v>
      </c>
      <c r="C119" s="88" t="s">
        <v>77</v>
      </c>
      <c r="D119" s="88" t="s">
        <v>93</v>
      </c>
      <c r="E119" s="82" t="s">
        <v>100</v>
      </c>
      <c r="F119" s="82" t="s">
        <v>80</v>
      </c>
      <c r="G119" s="83">
        <f>G120</f>
        <v>254.5</v>
      </c>
    </row>
    <row r="120" spans="1:7" ht="38.25" hidden="1">
      <c r="A120" s="256" t="s">
        <v>218</v>
      </c>
      <c r="B120" s="181" t="s">
        <v>304</v>
      </c>
      <c r="C120" s="88" t="s">
        <v>77</v>
      </c>
      <c r="D120" s="88" t="s">
        <v>93</v>
      </c>
      <c r="E120" s="82" t="s">
        <v>100</v>
      </c>
      <c r="F120" s="88" t="s">
        <v>217</v>
      </c>
      <c r="G120" s="83">
        <v>254.5</v>
      </c>
    </row>
    <row r="121" spans="1:7" hidden="1">
      <c r="A121" s="199" t="s">
        <v>143</v>
      </c>
      <c r="B121" s="202" t="s">
        <v>304</v>
      </c>
      <c r="C121" s="97" t="s">
        <v>144</v>
      </c>
      <c r="D121" s="97" t="s">
        <v>78</v>
      </c>
      <c r="E121" s="98" t="s">
        <v>79</v>
      </c>
      <c r="F121" s="98" t="s">
        <v>80</v>
      </c>
      <c r="G121" s="99">
        <f>G122+G132+G153</f>
        <v>324434.20000000007</v>
      </c>
    </row>
    <row r="122" spans="1:7" hidden="1">
      <c r="A122" s="200" t="s">
        <v>145</v>
      </c>
      <c r="B122" s="196" t="s">
        <v>304</v>
      </c>
      <c r="C122" s="79" t="s">
        <v>144</v>
      </c>
      <c r="D122" s="79" t="s">
        <v>77</v>
      </c>
      <c r="E122" s="79" t="s">
        <v>146</v>
      </c>
      <c r="F122" s="79" t="s">
        <v>80</v>
      </c>
      <c r="G122" s="87">
        <f>G123+G128</f>
        <v>48429.4</v>
      </c>
    </row>
    <row r="123" spans="1:7" hidden="1">
      <c r="A123" s="200" t="s">
        <v>147</v>
      </c>
      <c r="B123" s="196" t="s">
        <v>304</v>
      </c>
      <c r="C123" s="79" t="s">
        <v>144</v>
      </c>
      <c r="D123" s="79" t="s">
        <v>77</v>
      </c>
      <c r="E123" s="79" t="s">
        <v>148</v>
      </c>
      <c r="F123" s="79" t="s">
        <v>80</v>
      </c>
      <c r="G123" s="87">
        <f>G124+G126</f>
        <v>29344.9</v>
      </c>
    </row>
    <row r="124" spans="1:7" hidden="1">
      <c r="A124" s="201" t="s">
        <v>233</v>
      </c>
      <c r="B124" s="196" t="s">
        <v>304</v>
      </c>
      <c r="C124" s="106" t="s">
        <v>144</v>
      </c>
      <c r="D124" s="106" t="s">
        <v>77</v>
      </c>
      <c r="E124" s="106" t="s">
        <v>149</v>
      </c>
      <c r="F124" s="88" t="s">
        <v>80</v>
      </c>
      <c r="G124" s="94">
        <f>G125</f>
        <v>3428.9</v>
      </c>
    </row>
    <row r="125" spans="1:7" hidden="1">
      <c r="A125" s="230" t="s">
        <v>241</v>
      </c>
      <c r="B125" s="196" t="s">
        <v>304</v>
      </c>
      <c r="C125" s="106" t="s">
        <v>144</v>
      </c>
      <c r="D125" s="106" t="s">
        <v>77</v>
      </c>
      <c r="E125" s="106" t="s">
        <v>149</v>
      </c>
      <c r="F125" s="88" t="s">
        <v>240</v>
      </c>
      <c r="G125" s="94">
        <f>2197.9+1231</f>
        <v>3428.9</v>
      </c>
    </row>
    <row r="126" spans="1:7" ht="25.5" hidden="1">
      <c r="A126" s="256" t="s">
        <v>235</v>
      </c>
      <c r="B126" s="196" t="s">
        <v>304</v>
      </c>
      <c r="C126" s="88" t="s">
        <v>144</v>
      </c>
      <c r="D126" s="88" t="s">
        <v>77</v>
      </c>
      <c r="E126" s="88" t="s">
        <v>234</v>
      </c>
      <c r="F126" s="88" t="s">
        <v>80</v>
      </c>
      <c r="G126" s="94">
        <f>G127</f>
        <v>25916</v>
      </c>
    </row>
    <row r="127" spans="1:7" ht="38.25" hidden="1">
      <c r="A127" s="230" t="s">
        <v>218</v>
      </c>
      <c r="B127" s="196" t="s">
        <v>304</v>
      </c>
      <c r="C127" s="88" t="s">
        <v>144</v>
      </c>
      <c r="D127" s="88" t="s">
        <v>77</v>
      </c>
      <c r="E127" s="88" t="s">
        <v>234</v>
      </c>
      <c r="F127" s="88" t="s">
        <v>240</v>
      </c>
      <c r="G127" s="94">
        <f>25916</f>
        <v>25916</v>
      </c>
    </row>
    <row r="128" spans="1:7" hidden="1">
      <c r="A128" s="201" t="s">
        <v>95</v>
      </c>
      <c r="B128" s="196" t="s">
        <v>304</v>
      </c>
      <c r="C128" s="88" t="s">
        <v>144</v>
      </c>
      <c r="D128" s="82" t="s">
        <v>77</v>
      </c>
      <c r="E128" s="88" t="s">
        <v>96</v>
      </c>
      <c r="F128" s="82" t="s">
        <v>80</v>
      </c>
      <c r="G128" s="83">
        <f>G129</f>
        <v>19084.5</v>
      </c>
    </row>
    <row r="129" spans="1:7" ht="38.25" hidden="1">
      <c r="A129" s="256" t="s">
        <v>232</v>
      </c>
      <c r="B129" s="196" t="s">
        <v>304</v>
      </c>
      <c r="C129" s="82" t="s">
        <v>144</v>
      </c>
      <c r="D129" s="82" t="s">
        <v>77</v>
      </c>
      <c r="E129" s="88" t="s">
        <v>231</v>
      </c>
      <c r="F129" s="82" t="s">
        <v>80</v>
      </c>
      <c r="G129" s="83">
        <f>G130</f>
        <v>19084.5</v>
      </c>
    </row>
    <row r="130" spans="1:7" ht="51" hidden="1">
      <c r="A130" s="230" t="s">
        <v>229</v>
      </c>
      <c r="B130" s="196" t="s">
        <v>304</v>
      </c>
      <c r="C130" s="82" t="s">
        <v>144</v>
      </c>
      <c r="D130" s="82" t="s">
        <v>77</v>
      </c>
      <c r="E130" s="88" t="s">
        <v>230</v>
      </c>
      <c r="F130" s="88" t="s">
        <v>80</v>
      </c>
      <c r="G130" s="83">
        <f>G131</f>
        <v>19084.5</v>
      </c>
    </row>
    <row r="131" spans="1:7" hidden="1">
      <c r="A131" s="95" t="s">
        <v>241</v>
      </c>
      <c r="B131" s="191" t="s">
        <v>304</v>
      </c>
      <c r="C131" s="82" t="s">
        <v>144</v>
      </c>
      <c r="D131" s="82" t="s">
        <v>77</v>
      </c>
      <c r="E131" s="88" t="s">
        <v>230</v>
      </c>
      <c r="F131" s="88" t="s">
        <v>240</v>
      </c>
      <c r="G131" s="83">
        <v>19084.5</v>
      </c>
    </row>
    <row r="132" spans="1:7" hidden="1">
      <c r="A132" s="89" t="s">
        <v>150</v>
      </c>
      <c r="B132" s="193" t="s">
        <v>304</v>
      </c>
      <c r="C132" s="79" t="s">
        <v>144</v>
      </c>
      <c r="D132" s="79" t="s">
        <v>82</v>
      </c>
      <c r="E132" s="79" t="s">
        <v>79</v>
      </c>
      <c r="F132" s="79" t="s">
        <v>80</v>
      </c>
      <c r="G132" s="80">
        <f>G133+G138+G143+G150</f>
        <v>264607.90000000002</v>
      </c>
    </row>
    <row r="133" spans="1:7" ht="12" hidden="1" customHeight="1">
      <c r="A133" s="89" t="s">
        <v>151</v>
      </c>
      <c r="B133" s="193" t="s">
        <v>304</v>
      </c>
      <c r="C133" s="79" t="s">
        <v>144</v>
      </c>
      <c r="D133" s="79" t="s">
        <v>82</v>
      </c>
      <c r="E133" s="79" t="s">
        <v>152</v>
      </c>
      <c r="F133" s="79" t="s">
        <v>80</v>
      </c>
      <c r="G133" s="80">
        <f>G134+G136</f>
        <v>120388.2</v>
      </c>
    </row>
    <row r="134" spans="1:7" hidden="1">
      <c r="A134" s="171" t="s">
        <v>115</v>
      </c>
      <c r="B134" s="196" t="s">
        <v>304</v>
      </c>
      <c r="C134" s="82" t="s">
        <v>144</v>
      </c>
      <c r="D134" s="82" t="s">
        <v>82</v>
      </c>
      <c r="E134" s="82" t="s">
        <v>153</v>
      </c>
      <c r="F134" s="82" t="s">
        <v>80</v>
      </c>
      <c r="G134" s="83">
        <f>G135</f>
        <v>28239.300000000003</v>
      </c>
    </row>
    <row r="135" spans="1:7" hidden="1">
      <c r="A135" s="230" t="s">
        <v>241</v>
      </c>
      <c r="B135" s="196" t="s">
        <v>304</v>
      </c>
      <c r="C135" s="82" t="s">
        <v>144</v>
      </c>
      <c r="D135" s="82" t="s">
        <v>82</v>
      </c>
      <c r="E135" s="82" t="s">
        <v>153</v>
      </c>
      <c r="F135" s="88" t="s">
        <v>240</v>
      </c>
      <c r="G135" s="83">
        <f>18021.9+4898.2+6004.6-685.4</f>
        <v>28239.300000000003</v>
      </c>
    </row>
    <row r="136" spans="1:7" ht="25.5" hidden="1">
      <c r="A136" s="256" t="s">
        <v>235</v>
      </c>
      <c r="B136" s="196" t="s">
        <v>304</v>
      </c>
      <c r="C136" s="82" t="s">
        <v>144</v>
      </c>
      <c r="D136" s="82" t="s">
        <v>82</v>
      </c>
      <c r="E136" s="88" t="s">
        <v>236</v>
      </c>
      <c r="F136" s="88" t="s">
        <v>80</v>
      </c>
      <c r="G136" s="83">
        <f>G137</f>
        <v>92148.9</v>
      </c>
    </row>
    <row r="137" spans="1:7" hidden="1">
      <c r="A137" s="95" t="s">
        <v>241</v>
      </c>
      <c r="B137" s="191" t="s">
        <v>304</v>
      </c>
      <c r="C137" s="82" t="s">
        <v>144</v>
      </c>
      <c r="D137" s="82" t="s">
        <v>82</v>
      </c>
      <c r="E137" s="88" t="s">
        <v>236</v>
      </c>
      <c r="F137" s="88" t="s">
        <v>240</v>
      </c>
      <c r="G137" s="83">
        <f>110170.8-18021.9</f>
        <v>92148.9</v>
      </c>
    </row>
    <row r="138" spans="1:7" hidden="1">
      <c r="A138" s="70" t="s">
        <v>154</v>
      </c>
      <c r="B138" s="193" t="s">
        <v>304</v>
      </c>
      <c r="C138" s="79" t="s">
        <v>144</v>
      </c>
      <c r="D138" s="79" t="s">
        <v>82</v>
      </c>
      <c r="E138" s="79" t="s">
        <v>155</v>
      </c>
      <c r="F138" s="79" t="s">
        <v>80</v>
      </c>
      <c r="G138" s="80">
        <f>G139+G141</f>
        <v>16751.599999999999</v>
      </c>
    </row>
    <row r="139" spans="1:7" hidden="1">
      <c r="A139" s="73" t="s">
        <v>115</v>
      </c>
      <c r="B139" s="191" t="s">
        <v>304</v>
      </c>
      <c r="C139" s="82" t="s">
        <v>144</v>
      </c>
      <c r="D139" s="82" t="s">
        <v>82</v>
      </c>
      <c r="E139" s="82" t="s">
        <v>156</v>
      </c>
      <c r="F139" s="82" t="s">
        <v>80</v>
      </c>
      <c r="G139" s="83">
        <f>G140</f>
        <v>4193.5</v>
      </c>
    </row>
    <row r="140" spans="1:7" hidden="1">
      <c r="A140" s="230" t="s">
        <v>241</v>
      </c>
      <c r="B140" s="196" t="s">
        <v>304</v>
      </c>
      <c r="C140" s="82" t="s">
        <v>144</v>
      </c>
      <c r="D140" s="82" t="s">
        <v>82</v>
      </c>
      <c r="E140" s="82" t="s">
        <v>156</v>
      </c>
      <c r="F140" s="88" t="s">
        <v>240</v>
      </c>
      <c r="G140" s="83">
        <v>4193.5</v>
      </c>
    </row>
    <row r="141" spans="1:7" ht="25.5" hidden="1">
      <c r="A141" s="256" t="s">
        <v>235</v>
      </c>
      <c r="B141" s="196" t="s">
        <v>304</v>
      </c>
      <c r="C141" s="82" t="s">
        <v>144</v>
      </c>
      <c r="D141" s="82" t="s">
        <v>82</v>
      </c>
      <c r="E141" s="88" t="s">
        <v>237</v>
      </c>
      <c r="F141" s="82" t="s">
        <v>80</v>
      </c>
      <c r="G141" s="83">
        <f>G142</f>
        <v>12558.1</v>
      </c>
    </row>
    <row r="142" spans="1:7" hidden="1">
      <c r="A142" s="230" t="s">
        <v>241</v>
      </c>
      <c r="B142" s="196" t="s">
        <v>304</v>
      </c>
      <c r="C142" s="82" t="s">
        <v>144</v>
      </c>
      <c r="D142" s="82" t="s">
        <v>82</v>
      </c>
      <c r="E142" s="88" t="s">
        <v>237</v>
      </c>
      <c r="F142" s="88" t="s">
        <v>240</v>
      </c>
      <c r="G142" s="83">
        <v>12558.1</v>
      </c>
    </row>
    <row r="143" spans="1:7" hidden="1">
      <c r="A143" s="173" t="s">
        <v>157</v>
      </c>
      <c r="B143" s="197" t="s">
        <v>304</v>
      </c>
      <c r="C143" s="79" t="s">
        <v>144</v>
      </c>
      <c r="D143" s="79" t="s">
        <v>82</v>
      </c>
      <c r="E143" s="79" t="s">
        <v>158</v>
      </c>
      <c r="F143" s="79" t="s">
        <v>80</v>
      </c>
      <c r="G143" s="80">
        <f>G144</f>
        <v>2307</v>
      </c>
    </row>
    <row r="144" spans="1:7" hidden="1">
      <c r="A144" s="171" t="s">
        <v>157</v>
      </c>
      <c r="B144" s="196" t="s">
        <v>304</v>
      </c>
      <c r="C144" s="82" t="s">
        <v>144</v>
      </c>
      <c r="D144" s="82" t="s">
        <v>82</v>
      </c>
      <c r="E144" s="82" t="s">
        <v>158</v>
      </c>
      <c r="F144" s="82" t="s">
        <v>80</v>
      </c>
      <c r="G144" s="83">
        <f>G145</f>
        <v>2307</v>
      </c>
    </row>
    <row r="145" spans="1:7" ht="19.5" hidden="1" customHeight="1">
      <c r="A145" s="171" t="s">
        <v>115</v>
      </c>
      <c r="B145" s="196" t="s">
        <v>304</v>
      </c>
      <c r="C145" s="82" t="s">
        <v>144</v>
      </c>
      <c r="D145" s="82" t="s">
        <v>82</v>
      </c>
      <c r="E145" s="82" t="s">
        <v>159</v>
      </c>
      <c r="F145" s="82" t="s">
        <v>80</v>
      </c>
      <c r="G145" s="83">
        <f>G146+G148</f>
        <v>2307</v>
      </c>
    </row>
    <row r="146" spans="1:7" ht="0.75" hidden="1" customHeight="1">
      <c r="A146" s="194" t="s">
        <v>160</v>
      </c>
      <c r="B146" s="196" t="s">
        <v>304</v>
      </c>
      <c r="C146" s="82" t="s">
        <v>144</v>
      </c>
      <c r="D146" s="82" t="s">
        <v>82</v>
      </c>
      <c r="E146" s="82" t="s">
        <v>161</v>
      </c>
      <c r="F146" s="82" t="s">
        <v>80</v>
      </c>
      <c r="G146" s="83">
        <f>G147</f>
        <v>0</v>
      </c>
    </row>
    <row r="147" spans="1:7" ht="2.25" hidden="1" customHeight="1">
      <c r="A147" s="158" t="s">
        <v>241</v>
      </c>
      <c r="B147" s="196" t="s">
        <v>304</v>
      </c>
      <c r="C147" s="82" t="s">
        <v>144</v>
      </c>
      <c r="D147" s="82" t="s">
        <v>82</v>
      </c>
      <c r="E147" s="82" t="s">
        <v>161</v>
      </c>
      <c r="F147" s="88" t="s">
        <v>240</v>
      </c>
      <c r="G147" s="83"/>
    </row>
    <row r="148" spans="1:7" ht="25.5" hidden="1">
      <c r="A148" s="256" t="s">
        <v>235</v>
      </c>
      <c r="B148" s="196" t="s">
        <v>304</v>
      </c>
      <c r="C148" s="82" t="s">
        <v>144</v>
      </c>
      <c r="D148" s="82" t="s">
        <v>82</v>
      </c>
      <c r="E148" s="88" t="s">
        <v>238</v>
      </c>
      <c r="F148" s="88" t="s">
        <v>80</v>
      </c>
      <c r="G148" s="83">
        <f>G149</f>
        <v>2307</v>
      </c>
    </row>
    <row r="149" spans="1:7" hidden="1">
      <c r="A149" s="230" t="s">
        <v>241</v>
      </c>
      <c r="B149" s="196" t="s">
        <v>304</v>
      </c>
      <c r="C149" s="82" t="s">
        <v>144</v>
      </c>
      <c r="D149" s="82" t="s">
        <v>82</v>
      </c>
      <c r="E149" s="88" t="s">
        <v>238</v>
      </c>
      <c r="F149" s="88" t="s">
        <v>240</v>
      </c>
      <c r="G149" s="83">
        <v>2307</v>
      </c>
    </row>
    <row r="150" spans="1:7" hidden="1">
      <c r="A150" s="195" t="s">
        <v>95</v>
      </c>
      <c r="B150" s="197" t="s">
        <v>304</v>
      </c>
      <c r="C150" s="79" t="s">
        <v>144</v>
      </c>
      <c r="D150" s="79" t="s">
        <v>82</v>
      </c>
      <c r="E150" s="79" t="s">
        <v>96</v>
      </c>
      <c r="F150" s="79" t="s">
        <v>80</v>
      </c>
      <c r="G150" s="87">
        <f>G151</f>
        <v>125161.1</v>
      </c>
    </row>
    <row r="151" spans="1:7" ht="25.5" hidden="1">
      <c r="A151" s="158" t="s">
        <v>166</v>
      </c>
      <c r="B151" s="196" t="s">
        <v>304</v>
      </c>
      <c r="C151" s="82" t="s">
        <v>144</v>
      </c>
      <c r="D151" s="82" t="s">
        <v>82</v>
      </c>
      <c r="E151" s="82" t="s">
        <v>167</v>
      </c>
      <c r="F151" s="82" t="s">
        <v>80</v>
      </c>
      <c r="G151" s="83">
        <f>G152</f>
        <v>125161.1</v>
      </c>
    </row>
    <row r="152" spans="1:7" hidden="1">
      <c r="A152" s="230" t="s">
        <v>241</v>
      </c>
      <c r="B152" s="196" t="s">
        <v>304</v>
      </c>
      <c r="C152" s="82" t="s">
        <v>144</v>
      </c>
      <c r="D152" s="82" t="s">
        <v>82</v>
      </c>
      <c r="E152" s="82" t="s">
        <v>167</v>
      </c>
      <c r="F152" s="88" t="s">
        <v>240</v>
      </c>
      <c r="G152" s="83">
        <v>125161.1</v>
      </c>
    </row>
    <row r="153" spans="1:7" hidden="1">
      <c r="A153" s="173" t="s">
        <v>172</v>
      </c>
      <c r="B153" s="197" t="s">
        <v>304</v>
      </c>
      <c r="C153" s="79" t="s">
        <v>144</v>
      </c>
      <c r="D153" s="79" t="s">
        <v>128</v>
      </c>
      <c r="E153" s="79" t="s">
        <v>79</v>
      </c>
      <c r="F153" s="79" t="s">
        <v>80</v>
      </c>
      <c r="G153" s="80">
        <f>G154+G159+G162+G166</f>
        <v>11396.9</v>
      </c>
    </row>
    <row r="154" spans="1:7" ht="25.5" hidden="1">
      <c r="A154" s="159" t="s">
        <v>173</v>
      </c>
      <c r="B154" s="197" t="s">
        <v>304</v>
      </c>
      <c r="C154" s="79" t="s">
        <v>144</v>
      </c>
      <c r="D154" s="79" t="s">
        <v>128</v>
      </c>
      <c r="E154" s="79" t="s">
        <v>174</v>
      </c>
      <c r="F154" s="79" t="s">
        <v>80</v>
      </c>
      <c r="G154" s="80">
        <f>G155</f>
        <v>2052</v>
      </c>
    </row>
    <row r="155" spans="1:7" hidden="1">
      <c r="A155" s="171" t="s">
        <v>115</v>
      </c>
      <c r="B155" s="196" t="s">
        <v>304</v>
      </c>
      <c r="C155" s="82" t="s">
        <v>144</v>
      </c>
      <c r="D155" s="82" t="s">
        <v>128</v>
      </c>
      <c r="E155" s="82" t="s">
        <v>175</v>
      </c>
      <c r="F155" s="82" t="s">
        <v>80</v>
      </c>
      <c r="G155" s="83">
        <f>G156+G157+G158</f>
        <v>2052</v>
      </c>
    </row>
    <row r="156" spans="1:7" ht="38.25" hidden="1">
      <c r="A156" s="230" t="s">
        <v>218</v>
      </c>
      <c r="B156" s="196" t="s">
        <v>304</v>
      </c>
      <c r="C156" s="82" t="s">
        <v>144</v>
      </c>
      <c r="D156" s="82" t="s">
        <v>128</v>
      </c>
      <c r="E156" s="82" t="s">
        <v>175</v>
      </c>
      <c r="F156" s="88" t="s">
        <v>217</v>
      </c>
      <c r="G156" s="83">
        <f>343.5+12</f>
        <v>355.5</v>
      </c>
    </row>
    <row r="157" spans="1:7" hidden="1">
      <c r="A157" s="230" t="s">
        <v>221</v>
      </c>
      <c r="B157" s="196" t="s">
        <v>304</v>
      </c>
      <c r="C157" s="82" t="s">
        <v>144</v>
      </c>
      <c r="D157" s="82" t="s">
        <v>128</v>
      </c>
      <c r="E157" s="82" t="s">
        <v>175</v>
      </c>
      <c r="F157" s="88" t="s">
        <v>219</v>
      </c>
      <c r="G157" s="83">
        <f>78+1540.5</f>
        <v>1618.5</v>
      </c>
    </row>
    <row r="158" spans="1:7" hidden="1">
      <c r="A158" s="230" t="s">
        <v>222</v>
      </c>
      <c r="B158" s="196" t="s">
        <v>304</v>
      </c>
      <c r="C158" s="82" t="s">
        <v>144</v>
      </c>
      <c r="D158" s="82" t="s">
        <v>128</v>
      </c>
      <c r="E158" s="82" t="s">
        <v>175</v>
      </c>
      <c r="F158" s="88" t="s">
        <v>220</v>
      </c>
      <c r="G158" s="83">
        <v>78</v>
      </c>
    </row>
    <row r="159" spans="1:7" hidden="1">
      <c r="A159" s="173" t="s">
        <v>176</v>
      </c>
      <c r="B159" s="197" t="s">
        <v>304</v>
      </c>
      <c r="C159" s="79" t="s">
        <v>144</v>
      </c>
      <c r="D159" s="79" t="s">
        <v>128</v>
      </c>
      <c r="E159" s="79" t="s">
        <v>177</v>
      </c>
      <c r="F159" s="79" t="s">
        <v>80</v>
      </c>
      <c r="G159" s="80">
        <f>G160</f>
        <v>1423.2</v>
      </c>
    </row>
    <row r="160" spans="1:7" hidden="1">
      <c r="A160" s="171" t="s">
        <v>178</v>
      </c>
      <c r="B160" s="196" t="s">
        <v>304</v>
      </c>
      <c r="C160" s="82" t="s">
        <v>144</v>
      </c>
      <c r="D160" s="82" t="s">
        <v>128</v>
      </c>
      <c r="E160" s="82" t="s">
        <v>179</v>
      </c>
      <c r="F160" s="82" t="s">
        <v>80</v>
      </c>
      <c r="G160" s="83">
        <f>G161</f>
        <v>1423.2</v>
      </c>
    </row>
    <row r="161" spans="1:7" hidden="1">
      <c r="A161" s="230" t="s">
        <v>221</v>
      </c>
      <c r="B161" s="196" t="s">
        <v>304</v>
      </c>
      <c r="C161" s="82" t="s">
        <v>144</v>
      </c>
      <c r="D161" s="82" t="s">
        <v>128</v>
      </c>
      <c r="E161" s="82" t="s">
        <v>179</v>
      </c>
      <c r="F161" s="88" t="s">
        <v>219</v>
      </c>
      <c r="G161" s="83">
        <v>1423.2</v>
      </c>
    </row>
    <row r="162" spans="1:7" ht="38.25" hidden="1">
      <c r="A162" s="159" t="s">
        <v>180</v>
      </c>
      <c r="B162" s="197" t="s">
        <v>304</v>
      </c>
      <c r="C162" s="79" t="s">
        <v>144</v>
      </c>
      <c r="D162" s="79" t="s">
        <v>128</v>
      </c>
      <c r="E162" s="79" t="s">
        <v>181</v>
      </c>
      <c r="F162" s="79" t="s">
        <v>80</v>
      </c>
      <c r="G162" s="80">
        <f>G163</f>
        <v>4279.8999999999996</v>
      </c>
    </row>
    <row r="163" spans="1:7" hidden="1">
      <c r="A163" s="158" t="s">
        <v>115</v>
      </c>
      <c r="B163" s="196" t="s">
        <v>304</v>
      </c>
      <c r="C163" s="82" t="s">
        <v>144</v>
      </c>
      <c r="D163" s="82" t="s">
        <v>128</v>
      </c>
      <c r="E163" s="82" t="s">
        <v>182</v>
      </c>
      <c r="F163" s="82" t="s">
        <v>80</v>
      </c>
      <c r="G163" s="83">
        <f>G164+G165</f>
        <v>4279.8999999999996</v>
      </c>
    </row>
    <row r="164" spans="1:7" ht="38.25" hidden="1">
      <c r="A164" s="230" t="s">
        <v>218</v>
      </c>
      <c r="B164" s="196" t="s">
        <v>304</v>
      </c>
      <c r="C164" s="82" t="s">
        <v>144</v>
      </c>
      <c r="D164" s="82" t="s">
        <v>128</v>
      </c>
      <c r="E164" s="82" t="s">
        <v>182</v>
      </c>
      <c r="F164" s="88" t="s">
        <v>217</v>
      </c>
      <c r="G164" s="83">
        <f>2812.4+849.3+5.2</f>
        <v>3666.8999999999996</v>
      </c>
    </row>
    <row r="165" spans="1:7" hidden="1">
      <c r="A165" s="230" t="s">
        <v>221</v>
      </c>
      <c r="B165" s="196" t="s">
        <v>304</v>
      </c>
      <c r="C165" s="82" t="s">
        <v>144</v>
      </c>
      <c r="D165" s="82" t="s">
        <v>128</v>
      </c>
      <c r="E165" s="82" t="s">
        <v>182</v>
      </c>
      <c r="F165" s="88" t="s">
        <v>219</v>
      </c>
      <c r="G165" s="83">
        <f>80+3+30+40+100+320+40</f>
        <v>613</v>
      </c>
    </row>
    <row r="166" spans="1:7" hidden="1">
      <c r="A166" s="195" t="s">
        <v>95</v>
      </c>
      <c r="B166" s="197" t="s">
        <v>304</v>
      </c>
      <c r="C166" s="79" t="s">
        <v>144</v>
      </c>
      <c r="D166" s="79" t="s">
        <v>128</v>
      </c>
      <c r="E166" s="79" t="s">
        <v>96</v>
      </c>
      <c r="F166" s="79" t="s">
        <v>80</v>
      </c>
      <c r="G166" s="87">
        <f>G167</f>
        <v>3641.8</v>
      </c>
    </row>
    <row r="167" spans="1:7" ht="25.5" hidden="1">
      <c r="A167" s="171" t="s">
        <v>183</v>
      </c>
      <c r="B167" s="196" t="s">
        <v>304</v>
      </c>
      <c r="C167" s="106" t="s">
        <v>144</v>
      </c>
      <c r="D167" s="106" t="s">
        <v>128</v>
      </c>
      <c r="E167" s="106" t="s">
        <v>184</v>
      </c>
      <c r="F167" s="79" t="s">
        <v>80</v>
      </c>
      <c r="G167" s="83">
        <f>G168</f>
        <v>3641.8</v>
      </c>
    </row>
    <row r="168" spans="1:7" hidden="1">
      <c r="A168" s="158" t="s">
        <v>241</v>
      </c>
      <c r="B168" s="196" t="s">
        <v>304</v>
      </c>
      <c r="C168" s="106" t="s">
        <v>144</v>
      </c>
      <c r="D168" s="106" t="s">
        <v>128</v>
      </c>
      <c r="E168" s="106" t="s">
        <v>184</v>
      </c>
      <c r="F168" s="79" t="s">
        <v>240</v>
      </c>
      <c r="G168" s="83">
        <v>3641.8</v>
      </c>
    </row>
    <row r="169" spans="1:7" hidden="1">
      <c r="A169" s="96" t="s">
        <v>201</v>
      </c>
      <c r="B169" s="187" t="s">
        <v>304</v>
      </c>
      <c r="C169" s="98" t="s">
        <v>202</v>
      </c>
      <c r="D169" s="98" t="s">
        <v>78</v>
      </c>
      <c r="E169" s="98" t="s">
        <v>79</v>
      </c>
      <c r="F169" s="98" t="s">
        <v>80</v>
      </c>
      <c r="G169" s="99">
        <f>G170+G173</f>
        <v>6242.2999999999993</v>
      </c>
    </row>
    <row r="170" spans="1:7" hidden="1">
      <c r="A170" s="121" t="s">
        <v>242</v>
      </c>
      <c r="B170" s="198" t="s">
        <v>304</v>
      </c>
      <c r="C170" s="122" t="s">
        <v>202</v>
      </c>
      <c r="D170" s="122" t="s">
        <v>87</v>
      </c>
      <c r="E170" s="122" t="s">
        <v>79</v>
      </c>
      <c r="F170" s="122" t="s">
        <v>80</v>
      </c>
      <c r="G170" s="123">
        <f>G171</f>
        <v>2851.7</v>
      </c>
    </row>
    <row r="171" spans="1:7" hidden="1">
      <c r="A171" s="172" t="s">
        <v>243</v>
      </c>
      <c r="B171" s="182" t="s">
        <v>304</v>
      </c>
      <c r="C171" s="74" t="s">
        <v>202</v>
      </c>
      <c r="D171" s="74" t="s">
        <v>87</v>
      </c>
      <c r="E171" s="88" t="s">
        <v>203</v>
      </c>
      <c r="F171" s="82" t="s">
        <v>80</v>
      </c>
      <c r="G171" s="85">
        <f>G172</f>
        <v>2851.7</v>
      </c>
    </row>
    <row r="172" spans="1:7" hidden="1">
      <c r="A172" s="221" t="s">
        <v>241</v>
      </c>
      <c r="B172" s="182" t="s">
        <v>304</v>
      </c>
      <c r="C172" s="222" t="s">
        <v>202</v>
      </c>
      <c r="D172" s="222" t="s">
        <v>87</v>
      </c>
      <c r="E172" s="223" t="s">
        <v>203</v>
      </c>
      <c r="F172" s="223" t="s">
        <v>240</v>
      </c>
      <c r="G172" s="224">
        <f>2851.7</f>
        <v>2851.7</v>
      </c>
    </row>
    <row r="173" spans="1:7" hidden="1">
      <c r="A173" s="118" t="s">
        <v>334</v>
      </c>
      <c r="B173" s="182" t="s">
        <v>304</v>
      </c>
      <c r="C173" s="93" t="s">
        <v>202</v>
      </c>
      <c r="D173" s="93" t="s">
        <v>93</v>
      </c>
      <c r="E173" s="88" t="s">
        <v>146</v>
      </c>
      <c r="F173" s="88" t="s">
        <v>80</v>
      </c>
      <c r="G173" s="85">
        <f>G174</f>
        <v>3390.6</v>
      </c>
    </row>
    <row r="174" spans="1:7" ht="38.25" hidden="1">
      <c r="A174" s="118" t="s">
        <v>335</v>
      </c>
      <c r="B174" s="182" t="s">
        <v>304</v>
      </c>
      <c r="C174" s="93" t="s">
        <v>202</v>
      </c>
      <c r="D174" s="93" t="s">
        <v>93</v>
      </c>
      <c r="E174" s="88" t="s">
        <v>338</v>
      </c>
      <c r="F174" s="88" t="s">
        <v>80</v>
      </c>
      <c r="G174" s="85">
        <f>G175</f>
        <v>3390.6</v>
      </c>
    </row>
    <row r="175" spans="1:7" hidden="1">
      <c r="A175" s="118" t="s">
        <v>337</v>
      </c>
      <c r="B175" s="182" t="s">
        <v>304</v>
      </c>
      <c r="C175" s="93" t="s">
        <v>202</v>
      </c>
      <c r="D175" s="93" t="s">
        <v>93</v>
      </c>
      <c r="E175" s="88" t="s">
        <v>338</v>
      </c>
      <c r="F175" s="88" t="s">
        <v>336</v>
      </c>
      <c r="G175" s="85">
        <v>3390.6</v>
      </c>
    </row>
    <row r="176" spans="1:7" ht="25.5" hidden="1">
      <c r="A176" s="259" t="s">
        <v>313</v>
      </c>
      <c r="B176" s="213" t="s">
        <v>305</v>
      </c>
      <c r="C176" s="225" t="s">
        <v>78</v>
      </c>
      <c r="D176" s="225" t="s">
        <v>78</v>
      </c>
      <c r="E176" s="225" t="s">
        <v>79</v>
      </c>
      <c r="F176" s="225" t="s">
        <v>80</v>
      </c>
      <c r="G176" s="212">
        <f>G177+G184+G191</f>
        <v>38257.4</v>
      </c>
    </row>
    <row r="177" spans="1:7" hidden="1">
      <c r="A177" s="214" t="s">
        <v>76</v>
      </c>
      <c r="B177" s="183" t="s">
        <v>305</v>
      </c>
      <c r="C177" s="76" t="s">
        <v>77</v>
      </c>
      <c r="D177" s="76" t="s">
        <v>78</v>
      </c>
      <c r="E177" s="76" t="s">
        <v>79</v>
      </c>
      <c r="F177" s="79" t="s">
        <v>80</v>
      </c>
      <c r="G177" s="80">
        <f>G178</f>
        <v>460</v>
      </c>
    </row>
    <row r="178" spans="1:7" ht="38.25" hidden="1">
      <c r="A178" s="70" t="s">
        <v>92</v>
      </c>
      <c r="B178" s="183" t="s">
        <v>305</v>
      </c>
      <c r="C178" s="78" t="s">
        <v>77</v>
      </c>
      <c r="D178" s="78" t="s">
        <v>93</v>
      </c>
      <c r="E178" s="76" t="s">
        <v>79</v>
      </c>
      <c r="F178" s="79" t="s">
        <v>80</v>
      </c>
      <c r="G178" s="80">
        <f>G179</f>
        <v>460</v>
      </c>
    </row>
    <row r="179" spans="1:7" ht="38.25" hidden="1">
      <c r="A179" s="73" t="s">
        <v>83</v>
      </c>
      <c r="B179" s="180" t="s">
        <v>305</v>
      </c>
      <c r="C179" s="81" t="s">
        <v>77</v>
      </c>
      <c r="D179" s="81" t="s">
        <v>93</v>
      </c>
      <c r="E179" s="82" t="s">
        <v>84</v>
      </c>
      <c r="F179" s="82" t="s">
        <v>80</v>
      </c>
      <c r="G179" s="83">
        <f>G180</f>
        <v>460</v>
      </c>
    </row>
    <row r="180" spans="1:7" hidden="1">
      <c r="A180" s="84" t="s">
        <v>94</v>
      </c>
      <c r="B180" s="180" t="s">
        <v>305</v>
      </c>
      <c r="C180" s="81" t="s">
        <v>77</v>
      </c>
      <c r="D180" s="81" t="s">
        <v>93</v>
      </c>
      <c r="E180" s="82" t="s">
        <v>89</v>
      </c>
      <c r="F180" s="82" t="s">
        <v>80</v>
      </c>
      <c r="G180" s="83">
        <f>G181+G182</f>
        <v>460</v>
      </c>
    </row>
    <row r="181" spans="1:7" ht="38.25" hidden="1">
      <c r="A181" s="256" t="s">
        <v>218</v>
      </c>
      <c r="B181" s="184" t="s">
        <v>305</v>
      </c>
      <c r="C181" s="81" t="s">
        <v>77</v>
      </c>
      <c r="D181" s="81" t="s">
        <v>93</v>
      </c>
      <c r="E181" s="82" t="s">
        <v>89</v>
      </c>
      <c r="F181" s="88" t="s">
        <v>217</v>
      </c>
      <c r="G181" s="83">
        <f>20+411.5</f>
        <v>431.5</v>
      </c>
    </row>
    <row r="182" spans="1:7" hidden="1">
      <c r="A182" s="230" t="s">
        <v>221</v>
      </c>
      <c r="B182" s="184" t="s">
        <v>305</v>
      </c>
      <c r="C182" s="81" t="s">
        <v>77</v>
      </c>
      <c r="D182" s="81" t="s">
        <v>93</v>
      </c>
      <c r="E182" s="82" t="s">
        <v>89</v>
      </c>
      <c r="F182" s="88" t="s">
        <v>219</v>
      </c>
      <c r="G182" s="83">
        <v>28.5</v>
      </c>
    </row>
    <row r="183" spans="1:7" hidden="1">
      <c r="A183" s="199" t="s">
        <v>143</v>
      </c>
      <c r="B183" s="202" t="s">
        <v>305</v>
      </c>
      <c r="C183" s="97" t="s">
        <v>144</v>
      </c>
      <c r="D183" s="97" t="s">
        <v>78</v>
      </c>
      <c r="E183" s="98" t="s">
        <v>79</v>
      </c>
      <c r="F183" s="98" t="s">
        <v>80</v>
      </c>
      <c r="G183" s="99">
        <f>G184</f>
        <v>9453.7000000000007</v>
      </c>
    </row>
    <row r="184" spans="1:7" hidden="1">
      <c r="A184" s="173" t="s">
        <v>157</v>
      </c>
      <c r="B184" s="197" t="s">
        <v>305</v>
      </c>
      <c r="C184" s="79" t="s">
        <v>144</v>
      </c>
      <c r="D184" s="79" t="s">
        <v>82</v>
      </c>
      <c r="E184" s="79" t="s">
        <v>158</v>
      </c>
      <c r="F184" s="79" t="s">
        <v>80</v>
      </c>
      <c r="G184" s="80">
        <f>G185</f>
        <v>9453.7000000000007</v>
      </c>
    </row>
    <row r="185" spans="1:7" hidden="1">
      <c r="A185" s="171" t="s">
        <v>157</v>
      </c>
      <c r="B185" s="220" t="s">
        <v>305</v>
      </c>
      <c r="C185" s="82" t="s">
        <v>144</v>
      </c>
      <c r="D185" s="82" t="s">
        <v>82</v>
      </c>
      <c r="E185" s="82" t="s">
        <v>158</v>
      </c>
      <c r="F185" s="82" t="s">
        <v>80</v>
      </c>
      <c r="G185" s="83">
        <f>G186</f>
        <v>9453.7000000000007</v>
      </c>
    </row>
    <row r="186" spans="1:7" ht="12" hidden="1" customHeight="1">
      <c r="A186" s="171" t="s">
        <v>115</v>
      </c>
      <c r="B186" s="220" t="s">
        <v>305</v>
      </c>
      <c r="C186" s="82" t="s">
        <v>144</v>
      </c>
      <c r="D186" s="82" t="s">
        <v>82</v>
      </c>
      <c r="E186" s="82" t="s">
        <v>159</v>
      </c>
      <c r="F186" s="82" t="s">
        <v>80</v>
      </c>
      <c r="G186" s="83">
        <f>G187+G189</f>
        <v>9453.7000000000007</v>
      </c>
    </row>
    <row r="187" spans="1:7" ht="25.5" hidden="1">
      <c r="A187" s="172" t="s">
        <v>314</v>
      </c>
      <c r="B187" s="220" t="s">
        <v>305</v>
      </c>
      <c r="C187" s="82" t="s">
        <v>144</v>
      </c>
      <c r="D187" s="82" t="s">
        <v>82</v>
      </c>
      <c r="E187" s="82" t="s">
        <v>163</v>
      </c>
      <c r="F187" s="82" t="s">
        <v>80</v>
      </c>
      <c r="G187" s="83">
        <f>G188</f>
        <v>0</v>
      </c>
    </row>
    <row r="188" spans="1:7" hidden="1">
      <c r="A188" s="158" t="s">
        <v>241</v>
      </c>
      <c r="B188" s="220" t="s">
        <v>305</v>
      </c>
      <c r="C188" s="82" t="s">
        <v>144</v>
      </c>
      <c r="D188" s="82" t="s">
        <v>82</v>
      </c>
      <c r="E188" s="82" t="s">
        <v>163</v>
      </c>
      <c r="F188" s="88" t="s">
        <v>240</v>
      </c>
      <c r="G188" s="83"/>
    </row>
    <row r="189" spans="1:7" ht="25.5" hidden="1">
      <c r="A189" s="256" t="s">
        <v>235</v>
      </c>
      <c r="B189" s="220" t="s">
        <v>305</v>
      </c>
      <c r="C189" s="82" t="s">
        <v>144</v>
      </c>
      <c r="D189" s="82" t="s">
        <v>82</v>
      </c>
      <c r="E189" s="88" t="s">
        <v>238</v>
      </c>
      <c r="F189" s="88" t="s">
        <v>80</v>
      </c>
      <c r="G189" s="83">
        <f>G190</f>
        <v>9453.7000000000007</v>
      </c>
    </row>
    <row r="190" spans="1:7" hidden="1">
      <c r="A190" s="230" t="s">
        <v>241</v>
      </c>
      <c r="B190" s="220" t="s">
        <v>305</v>
      </c>
      <c r="C190" s="82" t="s">
        <v>144</v>
      </c>
      <c r="D190" s="82" t="s">
        <v>82</v>
      </c>
      <c r="E190" s="88" t="s">
        <v>238</v>
      </c>
      <c r="F190" s="88" t="s">
        <v>240</v>
      </c>
      <c r="G190" s="83">
        <v>9453.7000000000007</v>
      </c>
    </row>
    <row r="191" spans="1:7" hidden="1">
      <c r="A191" s="107" t="s">
        <v>185</v>
      </c>
      <c r="B191" s="190" t="s">
        <v>305</v>
      </c>
      <c r="C191" s="108" t="s">
        <v>134</v>
      </c>
      <c r="D191" s="108" t="s">
        <v>186</v>
      </c>
      <c r="E191" s="108" t="s">
        <v>79</v>
      </c>
      <c r="F191" s="108" t="s">
        <v>80</v>
      </c>
      <c r="G191" s="109">
        <f>G192+G202</f>
        <v>28343.7</v>
      </c>
    </row>
    <row r="192" spans="1:7" ht="12" hidden="1" customHeight="1">
      <c r="A192" s="89" t="s">
        <v>187</v>
      </c>
      <c r="B192" s="178" t="s">
        <v>305</v>
      </c>
      <c r="C192" s="79" t="s">
        <v>134</v>
      </c>
      <c r="D192" s="79" t="s">
        <v>77</v>
      </c>
      <c r="E192" s="79" t="s">
        <v>79</v>
      </c>
      <c r="F192" s="79" t="s">
        <v>80</v>
      </c>
      <c r="G192" s="80">
        <f>+G193+G196+G199</f>
        <v>27807.7</v>
      </c>
    </row>
    <row r="193" spans="1:7" ht="24" hidden="1" customHeight="1">
      <c r="A193" s="89" t="s">
        <v>188</v>
      </c>
      <c r="B193" s="178" t="s">
        <v>305</v>
      </c>
      <c r="C193" s="79" t="s">
        <v>134</v>
      </c>
      <c r="D193" s="79" t="s">
        <v>77</v>
      </c>
      <c r="E193" s="79" t="s">
        <v>119</v>
      </c>
      <c r="F193" s="79" t="s">
        <v>80</v>
      </c>
      <c r="G193" s="80">
        <f>G194</f>
        <v>13201.7</v>
      </c>
    </row>
    <row r="194" spans="1:7" ht="15" hidden="1" customHeight="1">
      <c r="A194" s="89" t="s">
        <v>115</v>
      </c>
      <c r="B194" s="178" t="s">
        <v>305</v>
      </c>
      <c r="C194" s="79" t="s">
        <v>134</v>
      </c>
      <c r="D194" s="79" t="s">
        <v>77</v>
      </c>
      <c r="E194" s="79" t="s">
        <v>189</v>
      </c>
      <c r="F194" s="79" t="s">
        <v>80</v>
      </c>
      <c r="G194" s="80">
        <f>G195</f>
        <v>13201.7</v>
      </c>
    </row>
    <row r="195" spans="1:7" hidden="1">
      <c r="A195" s="73" t="s">
        <v>241</v>
      </c>
      <c r="B195" s="185" t="s">
        <v>305</v>
      </c>
      <c r="C195" s="82" t="s">
        <v>134</v>
      </c>
      <c r="D195" s="82" t="s">
        <v>77</v>
      </c>
      <c r="E195" s="82" t="s">
        <v>189</v>
      </c>
      <c r="F195" s="88" t="s">
        <v>240</v>
      </c>
      <c r="G195" s="83">
        <f>12986+430-214.3</f>
        <v>13201.7</v>
      </c>
    </row>
    <row r="196" spans="1:7" hidden="1">
      <c r="A196" s="89" t="s">
        <v>190</v>
      </c>
      <c r="B196" s="178" t="s">
        <v>305</v>
      </c>
      <c r="C196" s="79" t="s">
        <v>134</v>
      </c>
      <c r="D196" s="79" t="s">
        <v>77</v>
      </c>
      <c r="E196" s="79" t="s">
        <v>191</v>
      </c>
      <c r="F196" s="79" t="s">
        <v>80</v>
      </c>
      <c r="G196" s="80">
        <f>G197</f>
        <v>3658</v>
      </c>
    </row>
    <row r="197" spans="1:7" hidden="1">
      <c r="A197" s="84" t="s">
        <v>115</v>
      </c>
      <c r="B197" s="186" t="s">
        <v>305</v>
      </c>
      <c r="C197" s="82" t="s">
        <v>134</v>
      </c>
      <c r="D197" s="82" t="s">
        <v>77</v>
      </c>
      <c r="E197" s="82" t="s">
        <v>192</v>
      </c>
      <c r="F197" s="82" t="s">
        <v>80</v>
      </c>
      <c r="G197" s="83">
        <f>G198</f>
        <v>3658</v>
      </c>
    </row>
    <row r="198" spans="1:7" hidden="1">
      <c r="A198" s="118" t="s">
        <v>241</v>
      </c>
      <c r="B198" s="186" t="s">
        <v>305</v>
      </c>
      <c r="C198" s="82" t="s">
        <v>134</v>
      </c>
      <c r="D198" s="82" t="s">
        <v>77</v>
      </c>
      <c r="E198" s="82" t="s">
        <v>192</v>
      </c>
      <c r="F198" s="88" t="s">
        <v>240</v>
      </c>
      <c r="G198" s="83">
        <f>3625+33</f>
        <v>3658</v>
      </c>
    </row>
    <row r="199" spans="1:7" hidden="1">
      <c r="A199" s="89" t="s">
        <v>193</v>
      </c>
      <c r="B199" s="178" t="s">
        <v>305</v>
      </c>
      <c r="C199" s="79" t="s">
        <v>134</v>
      </c>
      <c r="D199" s="79" t="s">
        <v>77</v>
      </c>
      <c r="E199" s="79" t="s">
        <v>194</v>
      </c>
      <c r="F199" s="79" t="s">
        <v>80</v>
      </c>
      <c r="G199" s="80">
        <f>G200</f>
        <v>10948</v>
      </c>
    </row>
    <row r="200" spans="1:7" hidden="1">
      <c r="A200" s="84" t="s">
        <v>115</v>
      </c>
      <c r="B200" s="186" t="s">
        <v>305</v>
      </c>
      <c r="C200" s="82" t="s">
        <v>134</v>
      </c>
      <c r="D200" s="82" t="s">
        <v>77</v>
      </c>
      <c r="E200" s="82" t="s">
        <v>195</v>
      </c>
      <c r="F200" s="82" t="s">
        <v>80</v>
      </c>
      <c r="G200" s="83">
        <f>G201</f>
        <v>10948</v>
      </c>
    </row>
    <row r="201" spans="1:7" hidden="1">
      <c r="A201" s="73" t="s">
        <v>241</v>
      </c>
      <c r="B201" s="185" t="s">
        <v>305</v>
      </c>
      <c r="C201" s="82" t="s">
        <v>134</v>
      </c>
      <c r="D201" s="82" t="s">
        <v>77</v>
      </c>
      <c r="E201" s="82" t="s">
        <v>195</v>
      </c>
      <c r="F201" s="88" t="s">
        <v>240</v>
      </c>
      <c r="G201" s="83">
        <f>10871+77</f>
        <v>10948</v>
      </c>
    </row>
    <row r="202" spans="1:7" hidden="1">
      <c r="A202" s="89" t="s">
        <v>196</v>
      </c>
      <c r="B202" s="178" t="s">
        <v>305</v>
      </c>
      <c r="C202" s="79" t="s">
        <v>134</v>
      </c>
      <c r="D202" s="79" t="s">
        <v>93</v>
      </c>
      <c r="E202" s="79" t="s">
        <v>79</v>
      </c>
      <c r="F202" s="79" t="s">
        <v>80</v>
      </c>
      <c r="G202" s="80">
        <f>G203</f>
        <v>536</v>
      </c>
    </row>
    <row r="203" spans="1:7" ht="38.25" hidden="1">
      <c r="A203" s="73" t="s">
        <v>180</v>
      </c>
      <c r="B203" s="185" t="s">
        <v>305</v>
      </c>
      <c r="C203" s="82" t="s">
        <v>134</v>
      </c>
      <c r="D203" s="82" t="s">
        <v>93</v>
      </c>
      <c r="E203" s="82" t="s">
        <v>181</v>
      </c>
      <c r="F203" s="82" t="s">
        <v>80</v>
      </c>
      <c r="G203" s="83">
        <f>G204</f>
        <v>536</v>
      </c>
    </row>
    <row r="204" spans="1:7" hidden="1">
      <c r="A204" s="73" t="s">
        <v>115</v>
      </c>
      <c r="B204" s="185" t="s">
        <v>305</v>
      </c>
      <c r="C204" s="82" t="s">
        <v>134</v>
      </c>
      <c r="D204" s="82" t="s">
        <v>93</v>
      </c>
      <c r="E204" s="82" t="s">
        <v>182</v>
      </c>
      <c r="F204" s="82" t="s">
        <v>80</v>
      </c>
      <c r="G204" s="83">
        <f>G205+G206</f>
        <v>536</v>
      </c>
    </row>
    <row r="205" spans="1:7" ht="38.25" hidden="1">
      <c r="A205" s="95" t="s">
        <v>218</v>
      </c>
      <c r="B205" s="181" t="s">
        <v>305</v>
      </c>
      <c r="C205" s="82" t="s">
        <v>134</v>
      </c>
      <c r="D205" s="82" t="s">
        <v>133</v>
      </c>
      <c r="E205" s="82" t="s">
        <v>182</v>
      </c>
      <c r="F205" s="88" t="s">
        <v>217</v>
      </c>
      <c r="G205" s="83">
        <f>455.2+3</f>
        <v>458.2</v>
      </c>
    </row>
    <row r="206" spans="1:7" hidden="1">
      <c r="A206" s="95" t="s">
        <v>221</v>
      </c>
      <c r="B206" s="181" t="s">
        <v>305</v>
      </c>
      <c r="C206" s="82" t="s">
        <v>134</v>
      </c>
      <c r="D206" s="82" t="s">
        <v>133</v>
      </c>
      <c r="E206" s="82" t="s">
        <v>182</v>
      </c>
      <c r="F206" s="88" t="s">
        <v>219</v>
      </c>
      <c r="G206" s="83">
        <f>15+59.8+3</f>
        <v>77.8</v>
      </c>
    </row>
    <row r="207" spans="1:7" ht="25.5">
      <c r="A207" s="215" t="s">
        <v>311</v>
      </c>
      <c r="B207" s="216" t="s">
        <v>312</v>
      </c>
      <c r="C207" s="205" t="s">
        <v>78</v>
      </c>
      <c r="D207" s="205" t="s">
        <v>78</v>
      </c>
      <c r="E207" s="205" t="s">
        <v>79</v>
      </c>
      <c r="F207" s="205" t="s">
        <v>80</v>
      </c>
      <c r="G207" s="206">
        <f>G208+G238+G224</f>
        <v>10558.2</v>
      </c>
    </row>
    <row r="208" spans="1:7">
      <c r="A208" s="214" t="s">
        <v>76</v>
      </c>
      <c r="B208" s="217" t="s">
        <v>312</v>
      </c>
      <c r="C208" s="76" t="s">
        <v>77</v>
      </c>
      <c r="D208" s="76" t="s">
        <v>78</v>
      </c>
      <c r="E208" s="76" t="s">
        <v>79</v>
      </c>
      <c r="F208" s="79" t="s">
        <v>80</v>
      </c>
      <c r="G208" s="80">
        <f>G209+G218</f>
        <v>914.2</v>
      </c>
    </row>
    <row r="209" spans="1:7" ht="38.25">
      <c r="A209" s="70" t="s">
        <v>92</v>
      </c>
      <c r="B209" s="217" t="s">
        <v>312</v>
      </c>
      <c r="C209" s="78" t="s">
        <v>77</v>
      </c>
      <c r="D209" s="78" t="s">
        <v>93</v>
      </c>
      <c r="E209" s="76" t="s">
        <v>79</v>
      </c>
      <c r="F209" s="79" t="s">
        <v>80</v>
      </c>
      <c r="G209" s="80">
        <f>G210+G215</f>
        <v>537.70000000000005</v>
      </c>
    </row>
    <row r="210" spans="1:7" ht="38.25">
      <c r="A210" s="73" t="s">
        <v>83</v>
      </c>
      <c r="B210" s="181" t="s">
        <v>312</v>
      </c>
      <c r="C210" s="81" t="s">
        <v>77</v>
      </c>
      <c r="D210" s="81" t="s">
        <v>93</v>
      </c>
      <c r="E210" s="82" t="s">
        <v>84</v>
      </c>
      <c r="F210" s="82" t="s">
        <v>80</v>
      </c>
      <c r="G210" s="83">
        <f>G211</f>
        <v>283.2</v>
      </c>
    </row>
    <row r="211" spans="1:7">
      <c r="A211" s="84" t="s">
        <v>94</v>
      </c>
      <c r="B211" s="181" t="s">
        <v>312</v>
      </c>
      <c r="C211" s="81" t="s">
        <v>77</v>
      </c>
      <c r="D211" s="81" t="s">
        <v>93</v>
      </c>
      <c r="E211" s="82" t="s">
        <v>89</v>
      </c>
      <c r="F211" s="82" t="s">
        <v>80</v>
      </c>
      <c r="G211" s="83">
        <f>G212+G213+G214</f>
        <v>283.2</v>
      </c>
    </row>
    <row r="212" spans="1:7" ht="38.25">
      <c r="A212" s="256" t="s">
        <v>218</v>
      </c>
      <c r="B212" s="184" t="s">
        <v>312</v>
      </c>
      <c r="C212" s="81" t="s">
        <v>77</v>
      </c>
      <c r="D212" s="81" t="s">
        <v>93</v>
      </c>
      <c r="E212" s="82" t="s">
        <v>89</v>
      </c>
      <c r="F212" s="88" t="s">
        <v>217</v>
      </c>
      <c r="G212" s="83">
        <f>20+178.2</f>
        <v>198.2</v>
      </c>
    </row>
    <row r="213" spans="1:7">
      <c r="A213" s="230" t="s">
        <v>221</v>
      </c>
      <c r="B213" s="184" t="s">
        <v>312</v>
      </c>
      <c r="C213" s="81" t="s">
        <v>77</v>
      </c>
      <c r="D213" s="81" t="s">
        <v>93</v>
      </c>
      <c r="E213" s="82" t="s">
        <v>89</v>
      </c>
      <c r="F213" s="88" t="s">
        <v>219</v>
      </c>
      <c r="G213" s="83">
        <v>75</v>
      </c>
    </row>
    <row r="214" spans="1:7">
      <c r="A214" s="230" t="s">
        <v>222</v>
      </c>
      <c r="B214" s="184" t="s">
        <v>312</v>
      </c>
      <c r="C214" s="81" t="s">
        <v>77</v>
      </c>
      <c r="D214" s="81" t="s">
        <v>93</v>
      </c>
      <c r="E214" s="82" t="s">
        <v>89</v>
      </c>
      <c r="F214" s="88" t="s">
        <v>220</v>
      </c>
      <c r="G214" s="83">
        <v>10</v>
      </c>
    </row>
    <row r="215" spans="1:7" ht="25.5">
      <c r="A215" s="171" t="s">
        <v>97</v>
      </c>
      <c r="B215" s="182" t="s">
        <v>312</v>
      </c>
      <c r="C215" s="88" t="s">
        <v>77</v>
      </c>
      <c r="D215" s="88" t="s">
        <v>93</v>
      </c>
      <c r="E215" s="88" t="s">
        <v>98</v>
      </c>
      <c r="F215" s="88" t="s">
        <v>80</v>
      </c>
      <c r="G215" s="83">
        <f>G216</f>
        <v>254.5</v>
      </c>
    </row>
    <row r="216" spans="1:7" ht="38.25">
      <c r="A216" s="256" t="s">
        <v>218</v>
      </c>
      <c r="B216" s="226" t="s">
        <v>312</v>
      </c>
      <c r="C216" s="223" t="s">
        <v>77</v>
      </c>
      <c r="D216" s="223" t="s">
        <v>93</v>
      </c>
      <c r="E216" s="227" t="s">
        <v>98</v>
      </c>
      <c r="F216" s="223" t="s">
        <v>217</v>
      </c>
      <c r="G216" s="83">
        <v>254.5</v>
      </c>
    </row>
    <row r="217" spans="1:7">
      <c r="A217" s="89" t="s">
        <v>109</v>
      </c>
      <c r="B217" s="178" t="s">
        <v>312</v>
      </c>
      <c r="C217" s="90" t="s">
        <v>77</v>
      </c>
      <c r="D217" s="90" t="s">
        <v>110</v>
      </c>
      <c r="E217" s="79" t="s">
        <v>79</v>
      </c>
      <c r="F217" s="79" t="s">
        <v>80</v>
      </c>
      <c r="G217" s="80">
        <f>G218</f>
        <v>376.5</v>
      </c>
    </row>
    <row r="218" spans="1:7" ht="38.25">
      <c r="A218" s="73" t="s">
        <v>83</v>
      </c>
      <c r="B218" s="228" t="s">
        <v>312</v>
      </c>
      <c r="C218" s="81" t="s">
        <v>77</v>
      </c>
      <c r="D218" s="81" t="s">
        <v>110</v>
      </c>
      <c r="E218" s="82" t="s">
        <v>84</v>
      </c>
      <c r="F218" s="82" t="s">
        <v>80</v>
      </c>
      <c r="G218" s="83">
        <f>G219+G221</f>
        <v>376.5</v>
      </c>
    </row>
    <row r="219" spans="1:7">
      <c r="A219" s="91" t="s">
        <v>113</v>
      </c>
      <c r="B219" s="181" t="s">
        <v>312</v>
      </c>
      <c r="C219" s="88" t="s">
        <v>77</v>
      </c>
      <c r="D219" s="88" t="s">
        <v>110</v>
      </c>
      <c r="E219" s="92" t="s">
        <v>114</v>
      </c>
      <c r="F219" s="93" t="s">
        <v>80</v>
      </c>
      <c r="G219" s="94">
        <f>G220</f>
        <v>5</v>
      </c>
    </row>
    <row r="220" spans="1:7">
      <c r="A220" s="95" t="s">
        <v>221</v>
      </c>
      <c r="B220" s="181" t="s">
        <v>312</v>
      </c>
      <c r="C220" s="88" t="s">
        <v>77</v>
      </c>
      <c r="D220" s="88" t="s">
        <v>110</v>
      </c>
      <c r="E220" s="92" t="s">
        <v>114</v>
      </c>
      <c r="F220" s="93" t="s">
        <v>220</v>
      </c>
      <c r="G220" s="94">
        <v>5</v>
      </c>
    </row>
    <row r="221" spans="1:7">
      <c r="A221" s="84" t="s">
        <v>115</v>
      </c>
      <c r="B221" s="182" t="s">
        <v>312</v>
      </c>
      <c r="C221" s="81" t="s">
        <v>77</v>
      </c>
      <c r="D221" s="81" t="s">
        <v>110</v>
      </c>
      <c r="E221" s="82" t="s">
        <v>116</v>
      </c>
      <c r="F221" s="82" t="s">
        <v>80</v>
      </c>
      <c r="G221" s="83">
        <f>G222+G223</f>
        <v>371.5</v>
      </c>
    </row>
    <row r="222" spans="1:7" ht="38.25">
      <c r="A222" s="95" t="s">
        <v>218</v>
      </c>
      <c r="B222" s="182" t="s">
        <v>312</v>
      </c>
      <c r="C222" s="81" t="s">
        <v>77</v>
      </c>
      <c r="D222" s="81" t="s">
        <v>110</v>
      </c>
      <c r="E222" s="82" t="s">
        <v>116</v>
      </c>
      <c r="F222" s="88" t="s">
        <v>217</v>
      </c>
      <c r="G222" s="83">
        <f>252.5</f>
        <v>252.5</v>
      </c>
    </row>
    <row r="223" spans="1:7">
      <c r="A223" s="95" t="s">
        <v>221</v>
      </c>
      <c r="B223" s="182" t="s">
        <v>312</v>
      </c>
      <c r="C223" s="81" t="s">
        <v>77</v>
      </c>
      <c r="D223" s="81" t="s">
        <v>110</v>
      </c>
      <c r="E223" s="82" t="s">
        <v>116</v>
      </c>
      <c r="F223" s="88" t="s">
        <v>219</v>
      </c>
      <c r="G223" s="83">
        <v>119</v>
      </c>
    </row>
    <row r="224" spans="1:7">
      <c r="A224" s="199" t="s">
        <v>143</v>
      </c>
      <c r="B224" s="202" t="s">
        <v>312</v>
      </c>
      <c r="C224" s="97" t="s">
        <v>144</v>
      </c>
      <c r="D224" s="97" t="s">
        <v>78</v>
      </c>
      <c r="E224" s="98" t="s">
        <v>79</v>
      </c>
      <c r="F224" s="98" t="s">
        <v>80</v>
      </c>
      <c r="G224" s="99">
        <f>G225+G232</f>
        <v>9014</v>
      </c>
    </row>
    <row r="225" spans="1:7">
      <c r="A225" s="173" t="s">
        <v>157</v>
      </c>
      <c r="B225" s="197" t="s">
        <v>312</v>
      </c>
      <c r="C225" s="79" t="s">
        <v>144</v>
      </c>
      <c r="D225" s="79" t="s">
        <v>82</v>
      </c>
      <c r="E225" s="79" t="s">
        <v>158</v>
      </c>
      <c r="F225" s="79" t="s">
        <v>80</v>
      </c>
      <c r="G225" s="80">
        <f>G226</f>
        <v>4030</v>
      </c>
    </row>
    <row r="226" spans="1:7" ht="11.25" customHeight="1">
      <c r="A226" s="171" t="s">
        <v>157</v>
      </c>
      <c r="B226" s="220" t="s">
        <v>312</v>
      </c>
      <c r="C226" s="82" t="s">
        <v>144</v>
      </c>
      <c r="D226" s="82" t="s">
        <v>82</v>
      </c>
      <c r="E226" s="82" t="s">
        <v>158</v>
      </c>
      <c r="F226" s="82" t="s">
        <v>80</v>
      </c>
      <c r="G226" s="83">
        <f>G227+G230</f>
        <v>4030</v>
      </c>
    </row>
    <row r="227" spans="1:7">
      <c r="A227" s="171" t="s">
        <v>115</v>
      </c>
      <c r="B227" s="220" t="s">
        <v>312</v>
      </c>
      <c r="C227" s="82" t="s">
        <v>144</v>
      </c>
      <c r="D227" s="82" t="s">
        <v>82</v>
      </c>
      <c r="E227" s="82" t="s">
        <v>159</v>
      </c>
      <c r="F227" s="82" t="s">
        <v>80</v>
      </c>
      <c r="G227" s="83">
        <f>G228</f>
        <v>0</v>
      </c>
    </row>
    <row r="228" spans="1:7">
      <c r="A228" s="171" t="s">
        <v>164</v>
      </c>
      <c r="B228" s="220" t="s">
        <v>312</v>
      </c>
      <c r="C228" s="82" t="s">
        <v>144</v>
      </c>
      <c r="D228" s="82" t="s">
        <v>82</v>
      </c>
      <c r="E228" s="82" t="s">
        <v>165</v>
      </c>
      <c r="F228" s="82" t="s">
        <v>80</v>
      </c>
      <c r="G228" s="83">
        <f>G229</f>
        <v>0</v>
      </c>
    </row>
    <row r="229" spans="1:7">
      <c r="A229" s="158" t="s">
        <v>241</v>
      </c>
      <c r="B229" s="220" t="s">
        <v>312</v>
      </c>
      <c r="C229" s="82" t="s">
        <v>144</v>
      </c>
      <c r="D229" s="82" t="s">
        <v>82</v>
      </c>
      <c r="E229" s="82" t="s">
        <v>165</v>
      </c>
      <c r="F229" s="88" t="s">
        <v>240</v>
      </c>
      <c r="G229" s="83"/>
    </row>
    <row r="230" spans="1:7" ht="25.5">
      <c r="A230" s="256" t="s">
        <v>235</v>
      </c>
      <c r="B230" s="220" t="s">
        <v>312</v>
      </c>
      <c r="C230" s="82" t="s">
        <v>144</v>
      </c>
      <c r="D230" s="82" t="s">
        <v>82</v>
      </c>
      <c r="E230" s="88" t="s">
        <v>238</v>
      </c>
      <c r="F230" s="88" t="s">
        <v>80</v>
      </c>
      <c r="G230" s="83">
        <f>G231</f>
        <v>4030</v>
      </c>
    </row>
    <row r="231" spans="1:7">
      <c r="A231" s="230" t="s">
        <v>241</v>
      </c>
      <c r="B231" s="220" t="s">
        <v>312</v>
      </c>
      <c r="C231" s="82" t="s">
        <v>144</v>
      </c>
      <c r="D231" s="82" t="s">
        <v>82</v>
      </c>
      <c r="E231" s="88" t="s">
        <v>238</v>
      </c>
      <c r="F231" s="88" t="s">
        <v>240</v>
      </c>
      <c r="G231" s="83">
        <f>3056+112+862</f>
        <v>4030</v>
      </c>
    </row>
    <row r="232" spans="1:7">
      <c r="A232" s="195" t="s">
        <v>168</v>
      </c>
      <c r="B232" s="197" t="s">
        <v>312</v>
      </c>
      <c r="C232" s="79" t="s">
        <v>144</v>
      </c>
      <c r="D232" s="79" t="s">
        <v>144</v>
      </c>
      <c r="E232" s="79" t="s">
        <v>79</v>
      </c>
      <c r="F232" s="79" t="s">
        <v>80</v>
      </c>
      <c r="G232" s="80">
        <f>G233</f>
        <v>4984</v>
      </c>
    </row>
    <row r="233" spans="1:7">
      <c r="A233" s="171" t="s">
        <v>169</v>
      </c>
      <c r="B233" s="220" t="s">
        <v>312</v>
      </c>
      <c r="C233" s="82" t="s">
        <v>144</v>
      </c>
      <c r="D233" s="82" t="s">
        <v>144</v>
      </c>
      <c r="E233" s="82" t="s">
        <v>170</v>
      </c>
      <c r="F233" s="82" t="s">
        <v>80</v>
      </c>
      <c r="G233" s="83">
        <f>G234+G236</f>
        <v>4984</v>
      </c>
    </row>
    <row r="234" spans="1:7">
      <c r="A234" s="171" t="s">
        <v>115</v>
      </c>
      <c r="B234" s="220" t="s">
        <v>312</v>
      </c>
      <c r="C234" s="82" t="s">
        <v>144</v>
      </c>
      <c r="D234" s="82" t="s">
        <v>144</v>
      </c>
      <c r="E234" s="82" t="s">
        <v>171</v>
      </c>
      <c r="F234" s="82" t="s">
        <v>80</v>
      </c>
      <c r="G234" s="83">
        <f>G235</f>
        <v>3731</v>
      </c>
    </row>
    <row r="235" spans="1:7">
      <c r="A235" s="230" t="s">
        <v>241</v>
      </c>
      <c r="B235" s="220" t="s">
        <v>312</v>
      </c>
      <c r="C235" s="82" t="s">
        <v>144</v>
      </c>
      <c r="D235" s="82" t="s">
        <v>144</v>
      </c>
      <c r="E235" s="82" t="s">
        <v>171</v>
      </c>
      <c r="F235" s="88" t="s">
        <v>240</v>
      </c>
      <c r="G235" s="83">
        <f>3742+89-100</f>
        <v>3731</v>
      </c>
    </row>
    <row r="236" spans="1:7" ht="25.5">
      <c r="A236" s="256" t="s">
        <v>235</v>
      </c>
      <c r="B236" s="220" t="s">
        <v>312</v>
      </c>
      <c r="C236" s="82" t="s">
        <v>144</v>
      </c>
      <c r="D236" s="82" t="s">
        <v>144</v>
      </c>
      <c r="E236" s="88" t="s">
        <v>239</v>
      </c>
      <c r="F236" s="88" t="s">
        <v>80</v>
      </c>
      <c r="G236" s="83">
        <f>G237</f>
        <v>1253</v>
      </c>
    </row>
    <row r="237" spans="1:7">
      <c r="A237" s="230" t="s">
        <v>241</v>
      </c>
      <c r="B237" s="220" t="s">
        <v>312</v>
      </c>
      <c r="C237" s="82" t="s">
        <v>144</v>
      </c>
      <c r="D237" s="82" t="s">
        <v>144</v>
      </c>
      <c r="E237" s="88" t="s">
        <v>239</v>
      </c>
      <c r="F237" s="88" t="s">
        <v>240</v>
      </c>
      <c r="G237" s="83">
        <v>1253</v>
      </c>
    </row>
    <row r="238" spans="1:7">
      <c r="A238" s="281" t="s">
        <v>327</v>
      </c>
      <c r="B238" s="282" t="s">
        <v>312</v>
      </c>
      <c r="C238" s="283" t="s">
        <v>104</v>
      </c>
      <c r="D238" s="283" t="s">
        <v>78</v>
      </c>
      <c r="E238" s="283" t="s">
        <v>79</v>
      </c>
      <c r="F238" s="283" t="s">
        <v>80</v>
      </c>
      <c r="G238" s="284">
        <f>G239</f>
        <v>630</v>
      </c>
    </row>
    <row r="239" spans="1:7">
      <c r="A239" s="111" t="s">
        <v>204</v>
      </c>
      <c r="B239" s="192" t="s">
        <v>312</v>
      </c>
      <c r="C239" s="98" t="s">
        <v>104</v>
      </c>
      <c r="D239" s="98" t="s">
        <v>82</v>
      </c>
      <c r="E239" s="98" t="s">
        <v>79</v>
      </c>
      <c r="F239" s="98" t="s">
        <v>80</v>
      </c>
      <c r="G239" s="99">
        <f>G240</f>
        <v>630</v>
      </c>
    </row>
    <row r="240" spans="1:7" ht="25.5">
      <c r="A240" s="118" t="s">
        <v>357</v>
      </c>
      <c r="B240" s="186" t="s">
        <v>312</v>
      </c>
      <c r="C240" s="82" t="s">
        <v>104</v>
      </c>
      <c r="D240" s="82" t="s">
        <v>82</v>
      </c>
      <c r="E240" s="82" t="s">
        <v>205</v>
      </c>
      <c r="F240" s="82" t="s">
        <v>80</v>
      </c>
      <c r="G240" s="83">
        <f>G241</f>
        <v>630</v>
      </c>
    </row>
    <row r="241" spans="1:7">
      <c r="A241" s="73" t="s">
        <v>221</v>
      </c>
      <c r="B241" s="185" t="s">
        <v>312</v>
      </c>
      <c r="C241" s="82" t="s">
        <v>104</v>
      </c>
      <c r="D241" s="82" t="s">
        <v>82</v>
      </c>
      <c r="E241" s="82" t="s">
        <v>205</v>
      </c>
      <c r="F241" s="88" t="s">
        <v>219</v>
      </c>
      <c r="G241" s="83">
        <v>630</v>
      </c>
    </row>
    <row r="242" spans="1:7" hidden="1">
      <c r="A242" s="232" t="s">
        <v>316</v>
      </c>
      <c r="B242" s="233" t="s">
        <v>91</v>
      </c>
      <c r="C242" s="234" t="s">
        <v>78</v>
      </c>
      <c r="D242" s="234" t="s">
        <v>78</v>
      </c>
      <c r="E242" s="235" t="s">
        <v>79</v>
      </c>
      <c r="F242" s="235" t="s">
        <v>80</v>
      </c>
      <c r="G242" s="236">
        <f>G243+G257</f>
        <v>86393.600000000006</v>
      </c>
    </row>
    <row r="243" spans="1:7" hidden="1">
      <c r="A243" s="165" t="s">
        <v>76</v>
      </c>
      <c r="B243" s="174" t="s">
        <v>91</v>
      </c>
      <c r="C243" s="166" t="s">
        <v>77</v>
      </c>
      <c r="D243" s="166" t="s">
        <v>78</v>
      </c>
      <c r="E243" s="166" t="s">
        <v>79</v>
      </c>
      <c r="F243" s="167" t="s">
        <v>80</v>
      </c>
      <c r="G243" s="231">
        <f>G244+G250</f>
        <v>6548.2000000000007</v>
      </c>
    </row>
    <row r="244" spans="1:7" ht="25.5" hidden="1">
      <c r="A244" s="173" t="s">
        <v>101</v>
      </c>
      <c r="B244" s="183" t="s">
        <v>91</v>
      </c>
      <c r="C244" s="90" t="s">
        <v>77</v>
      </c>
      <c r="D244" s="90" t="s">
        <v>102</v>
      </c>
      <c r="E244" s="79" t="s">
        <v>79</v>
      </c>
      <c r="F244" s="79" t="s">
        <v>80</v>
      </c>
      <c r="G244" s="80">
        <f>G245</f>
        <v>5198</v>
      </c>
    </row>
    <row r="245" spans="1:7" ht="38.25" hidden="1">
      <c r="A245" s="158" t="s">
        <v>83</v>
      </c>
      <c r="B245" s="184" t="s">
        <v>91</v>
      </c>
      <c r="C245" s="81" t="s">
        <v>77</v>
      </c>
      <c r="D245" s="81" t="s">
        <v>102</v>
      </c>
      <c r="E245" s="82" t="s">
        <v>84</v>
      </c>
      <c r="F245" s="82" t="s">
        <v>80</v>
      </c>
      <c r="G245" s="83">
        <f>G246</f>
        <v>5198</v>
      </c>
    </row>
    <row r="246" spans="1:7" hidden="1">
      <c r="A246" s="171" t="s">
        <v>94</v>
      </c>
      <c r="B246" s="182" t="s">
        <v>91</v>
      </c>
      <c r="C246" s="81" t="s">
        <v>77</v>
      </c>
      <c r="D246" s="81" t="s">
        <v>102</v>
      </c>
      <c r="E246" s="82" t="s">
        <v>89</v>
      </c>
      <c r="F246" s="82" t="s">
        <v>80</v>
      </c>
      <c r="G246" s="83">
        <f>G247+G248+G249</f>
        <v>5198</v>
      </c>
    </row>
    <row r="247" spans="1:7" ht="38.25" hidden="1">
      <c r="A247" s="256" t="s">
        <v>218</v>
      </c>
      <c r="B247" s="181" t="s">
        <v>91</v>
      </c>
      <c r="C247" s="81" t="s">
        <v>77</v>
      </c>
      <c r="D247" s="81" t="s">
        <v>102</v>
      </c>
      <c r="E247" s="82" t="s">
        <v>89</v>
      </c>
      <c r="F247" s="88" t="s">
        <v>217</v>
      </c>
      <c r="G247" s="83">
        <v>3882</v>
      </c>
    </row>
    <row r="248" spans="1:7" hidden="1">
      <c r="A248" s="230" t="s">
        <v>221</v>
      </c>
      <c r="B248" s="181" t="s">
        <v>91</v>
      </c>
      <c r="C248" s="81" t="s">
        <v>77</v>
      </c>
      <c r="D248" s="81" t="s">
        <v>102</v>
      </c>
      <c r="E248" s="82" t="s">
        <v>89</v>
      </c>
      <c r="F248" s="88" t="s">
        <v>219</v>
      </c>
      <c r="G248" s="83">
        <v>1299</v>
      </c>
    </row>
    <row r="249" spans="1:7" hidden="1">
      <c r="A249" s="95" t="s">
        <v>222</v>
      </c>
      <c r="B249" s="181" t="s">
        <v>91</v>
      </c>
      <c r="C249" s="81" t="s">
        <v>77</v>
      </c>
      <c r="D249" s="81" t="s">
        <v>102</v>
      </c>
      <c r="E249" s="82" t="s">
        <v>89</v>
      </c>
      <c r="F249" s="88" t="s">
        <v>220</v>
      </c>
      <c r="G249" s="83">
        <v>17</v>
      </c>
    </row>
    <row r="250" spans="1:7" hidden="1">
      <c r="A250" s="89" t="s">
        <v>109</v>
      </c>
      <c r="B250" s="178" t="s">
        <v>91</v>
      </c>
      <c r="C250" s="90" t="s">
        <v>77</v>
      </c>
      <c r="D250" s="90" t="s">
        <v>110</v>
      </c>
      <c r="E250" s="79" t="s">
        <v>79</v>
      </c>
      <c r="F250" s="79" t="s">
        <v>80</v>
      </c>
      <c r="G250" s="80">
        <f>G251+G254</f>
        <v>1350.2000000000003</v>
      </c>
    </row>
    <row r="251" spans="1:7" ht="38.25" hidden="1">
      <c r="A251" s="159" t="s">
        <v>83</v>
      </c>
      <c r="B251" s="183" t="s">
        <v>91</v>
      </c>
      <c r="C251" s="90" t="s">
        <v>77</v>
      </c>
      <c r="D251" s="90" t="s">
        <v>110</v>
      </c>
      <c r="E251" s="79" t="s">
        <v>84</v>
      </c>
      <c r="F251" s="79" t="s">
        <v>80</v>
      </c>
      <c r="G251" s="80">
        <f>G252</f>
        <v>12</v>
      </c>
    </row>
    <row r="252" spans="1:7" hidden="1">
      <c r="A252" s="229" t="s">
        <v>113</v>
      </c>
      <c r="B252" s="181" t="s">
        <v>91</v>
      </c>
      <c r="C252" s="88" t="s">
        <v>77</v>
      </c>
      <c r="D252" s="88" t="s">
        <v>110</v>
      </c>
      <c r="E252" s="92" t="s">
        <v>114</v>
      </c>
      <c r="F252" s="93" t="s">
        <v>80</v>
      </c>
      <c r="G252" s="94">
        <f>G253</f>
        <v>12</v>
      </c>
    </row>
    <row r="253" spans="1:7" hidden="1">
      <c r="A253" s="230" t="s">
        <v>221</v>
      </c>
      <c r="B253" s="181" t="s">
        <v>91</v>
      </c>
      <c r="C253" s="88" t="s">
        <v>77</v>
      </c>
      <c r="D253" s="88" t="s">
        <v>110</v>
      </c>
      <c r="E253" s="92" t="s">
        <v>114</v>
      </c>
      <c r="F253" s="93" t="s">
        <v>220</v>
      </c>
      <c r="G253" s="94">
        <v>12</v>
      </c>
    </row>
    <row r="254" spans="1:7" hidden="1">
      <c r="A254" s="230" t="s">
        <v>117</v>
      </c>
      <c r="B254" s="181" t="s">
        <v>91</v>
      </c>
      <c r="C254" s="74" t="s">
        <v>77</v>
      </c>
      <c r="D254" s="81" t="s">
        <v>110</v>
      </c>
      <c r="E254" s="74" t="s">
        <v>118</v>
      </c>
      <c r="F254" s="74" t="s">
        <v>80</v>
      </c>
      <c r="G254" s="83">
        <f>G255+G256</f>
        <v>1338.2000000000003</v>
      </c>
    </row>
    <row r="255" spans="1:7" ht="38.25" hidden="1">
      <c r="A255" s="256" t="s">
        <v>218</v>
      </c>
      <c r="B255" s="181" t="s">
        <v>91</v>
      </c>
      <c r="C255" s="74" t="s">
        <v>77</v>
      </c>
      <c r="D255" s="81" t="s">
        <v>110</v>
      </c>
      <c r="E255" s="74" t="s">
        <v>118</v>
      </c>
      <c r="F255" s="88" t="s">
        <v>217</v>
      </c>
      <c r="G255" s="83">
        <f>1220.4+9.4</f>
        <v>1229.8000000000002</v>
      </c>
    </row>
    <row r="256" spans="1:7" hidden="1">
      <c r="A256" s="95" t="s">
        <v>221</v>
      </c>
      <c r="B256" s="181" t="s">
        <v>91</v>
      </c>
      <c r="C256" s="74" t="s">
        <v>77</v>
      </c>
      <c r="D256" s="81" t="s">
        <v>110</v>
      </c>
      <c r="E256" s="74" t="s">
        <v>118</v>
      </c>
      <c r="F256" s="88" t="s">
        <v>219</v>
      </c>
      <c r="G256" s="83">
        <v>108.4</v>
      </c>
    </row>
    <row r="257" spans="1:7" ht="25.5" hidden="1">
      <c r="A257" s="240" t="s">
        <v>206</v>
      </c>
      <c r="B257" s="237" t="s">
        <v>91</v>
      </c>
      <c r="C257" s="243" t="s">
        <v>207</v>
      </c>
      <c r="D257" s="243" t="s">
        <v>78</v>
      </c>
      <c r="E257" s="239" t="s">
        <v>79</v>
      </c>
      <c r="F257" s="239" t="s">
        <v>80</v>
      </c>
      <c r="G257" s="242">
        <f>G258+G265</f>
        <v>79845.400000000009</v>
      </c>
    </row>
    <row r="258" spans="1:7" ht="25.5" hidden="1">
      <c r="A258" s="89" t="s">
        <v>208</v>
      </c>
      <c r="B258" s="178" t="s">
        <v>91</v>
      </c>
      <c r="C258" s="76" t="s">
        <v>207</v>
      </c>
      <c r="D258" s="76" t="s">
        <v>77</v>
      </c>
      <c r="E258" s="79" t="s">
        <v>79</v>
      </c>
      <c r="F258" s="79" t="s">
        <v>80</v>
      </c>
      <c r="G258" s="80">
        <f>G259</f>
        <v>49930.600000000006</v>
      </c>
    </row>
    <row r="259" spans="1:7" hidden="1">
      <c r="A259" s="84" t="s">
        <v>209</v>
      </c>
      <c r="B259" s="186" t="s">
        <v>91</v>
      </c>
      <c r="C259" s="74" t="s">
        <v>207</v>
      </c>
      <c r="D259" s="74" t="s">
        <v>77</v>
      </c>
      <c r="E259" s="82" t="s">
        <v>210</v>
      </c>
      <c r="F259" s="82" t="s">
        <v>80</v>
      </c>
      <c r="G259" s="80">
        <f>G260</f>
        <v>49930.600000000006</v>
      </c>
    </row>
    <row r="260" spans="1:7" hidden="1">
      <c r="A260" s="84" t="s">
        <v>209</v>
      </c>
      <c r="B260" s="186" t="s">
        <v>91</v>
      </c>
      <c r="C260" s="74" t="s">
        <v>207</v>
      </c>
      <c r="D260" s="74" t="s">
        <v>77</v>
      </c>
      <c r="E260" s="88" t="s">
        <v>342</v>
      </c>
      <c r="F260" s="82" t="s">
        <v>80</v>
      </c>
      <c r="G260" s="83">
        <f>G261+G263</f>
        <v>49930.600000000006</v>
      </c>
    </row>
    <row r="261" spans="1:7" ht="25.5" hidden="1">
      <c r="A261" s="118" t="s">
        <v>341</v>
      </c>
      <c r="B261" s="186" t="s">
        <v>91</v>
      </c>
      <c r="C261" s="74" t="s">
        <v>207</v>
      </c>
      <c r="D261" s="74" t="s">
        <v>77</v>
      </c>
      <c r="E261" s="88" t="s">
        <v>340</v>
      </c>
      <c r="F261" s="88" t="s">
        <v>80</v>
      </c>
      <c r="G261" s="83">
        <v>49775.8</v>
      </c>
    </row>
    <row r="262" spans="1:7" hidden="1">
      <c r="A262" s="118" t="s">
        <v>95</v>
      </c>
      <c r="B262" s="186" t="s">
        <v>91</v>
      </c>
      <c r="C262" s="74" t="s">
        <v>207</v>
      </c>
      <c r="D262" s="74" t="s">
        <v>77</v>
      </c>
      <c r="E262" s="88" t="s">
        <v>340</v>
      </c>
      <c r="F262" s="88" t="s">
        <v>91</v>
      </c>
      <c r="G262" s="83">
        <v>49775.8</v>
      </c>
    </row>
    <row r="263" spans="1:7" ht="25.5" hidden="1">
      <c r="A263" s="118" t="s">
        <v>341</v>
      </c>
      <c r="B263" s="178" t="s">
        <v>91</v>
      </c>
      <c r="C263" s="74" t="s">
        <v>207</v>
      </c>
      <c r="D263" s="74" t="s">
        <v>77</v>
      </c>
      <c r="E263" s="88" t="s">
        <v>339</v>
      </c>
      <c r="F263" s="88" t="s">
        <v>80</v>
      </c>
      <c r="G263" s="83">
        <v>154.80000000000001</v>
      </c>
    </row>
    <row r="264" spans="1:7" hidden="1">
      <c r="A264" s="118" t="s">
        <v>95</v>
      </c>
      <c r="B264" s="178" t="s">
        <v>91</v>
      </c>
      <c r="C264" s="74" t="s">
        <v>207</v>
      </c>
      <c r="D264" s="74" t="s">
        <v>77</v>
      </c>
      <c r="E264" s="88" t="s">
        <v>339</v>
      </c>
      <c r="F264" s="88" t="s">
        <v>91</v>
      </c>
      <c r="G264" s="83">
        <v>154.80000000000001</v>
      </c>
    </row>
    <row r="265" spans="1:7" hidden="1">
      <c r="A265" s="89" t="s">
        <v>211</v>
      </c>
      <c r="B265" s="186" t="s">
        <v>91</v>
      </c>
      <c r="C265" s="90" t="s">
        <v>207</v>
      </c>
      <c r="D265" s="90" t="s">
        <v>82</v>
      </c>
      <c r="E265" s="79" t="s">
        <v>146</v>
      </c>
      <c r="F265" s="79" t="s">
        <v>80</v>
      </c>
      <c r="G265" s="80">
        <f>G266</f>
        <v>29914.800000000003</v>
      </c>
    </row>
    <row r="266" spans="1:7" hidden="1">
      <c r="A266" s="89" t="s">
        <v>212</v>
      </c>
      <c r="B266" s="182" t="s">
        <v>91</v>
      </c>
      <c r="C266" s="90" t="s">
        <v>207</v>
      </c>
      <c r="D266" s="90" t="s">
        <v>82</v>
      </c>
      <c r="E266" s="79" t="s">
        <v>213</v>
      </c>
      <c r="F266" s="79" t="s">
        <v>80</v>
      </c>
      <c r="G266" s="80">
        <f>G267+G269</f>
        <v>29914.800000000003</v>
      </c>
    </row>
    <row r="267" spans="1:7" hidden="1">
      <c r="A267" s="118" t="s">
        <v>214</v>
      </c>
      <c r="B267" s="182" t="s">
        <v>91</v>
      </c>
      <c r="C267" s="81" t="s">
        <v>207</v>
      </c>
      <c r="D267" s="81" t="s">
        <v>82</v>
      </c>
      <c r="E267" s="82" t="s">
        <v>215</v>
      </c>
      <c r="F267" s="82" t="s">
        <v>80</v>
      </c>
      <c r="G267" s="83">
        <f>G268</f>
        <v>4462.6000000000004</v>
      </c>
    </row>
    <row r="268" spans="1:7" hidden="1">
      <c r="A268" s="292" t="s">
        <v>95</v>
      </c>
      <c r="B268" s="182" t="s">
        <v>91</v>
      </c>
      <c r="C268" s="293" t="s">
        <v>207</v>
      </c>
      <c r="D268" s="293" t="s">
        <v>82</v>
      </c>
      <c r="E268" s="223" t="s">
        <v>215</v>
      </c>
      <c r="F268" s="223" t="s">
        <v>91</v>
      </c>
      <c r="G268" s="224">
        <v>4462.6000000000004</v>
      </c>
    </row>
    <row r="269" spans="1:7" hidden="1">
      <c r="A269" s="118" t="s">
        <v>214</v>
      </c>
      <c r="B269" s="182" t="s">
        <v>91</v>
      </c>
      <c r="C269" s="102" t="s">
        <v>207</v>
      </c>
      <c r="D269" s="102" t="s">
        <v>82</v>
      </c>
      <c r="E269" s="88" t="s">
        <v>343</v>
      </c>
      <c r="F269" s="88" t="s">
        <v>80</v>
      </c>
      <c r="G269" s="85">
        <f>G270</f>
        <v>25452.2</v>
      </c>
    </row>
    <row r="270" spans="1:7" hidden="1">
      <c r="A270" s="118" t="s">
        <v>95</v>
      </c>
      <c r="B270" s="182" t="s">
        <v>91</v>
      </c>
      <c r="C270" s="102" t="s">
        <v>344</v>
      </c>
      <c r="D270" s="102" t="s">
        <v>345</v>
      </c>
      <c r="E270" s="88" t="s">
        <v>343</v>
      </c>
      <c r="F270" s="88" t="s">
        <v>91</v>
      </c>
      <c r="G270" s="85">
        <v>25452.2</v>
      </c>
    </row>
    <row r="271" spans="1:7" ht="13.5" hidden="1" thickBot="1">
      <c r="A271" s="260" t="s">
        <v>62</v>
      </c>
      <c r="B271" s="261"/>
      <c r="C271" s="262"/>
      <c r="D271" s="262"/>
      <c r="E271" s="262"/>
      <c r="F271" s="262"/>
      <c r="G271" s="263">
        <f>G7+G23+G87+G95+G105+G111+G176+G207+G242</f>
        <v>519553.57000000007</v>
      </c>
    </row>
    <row r="272" spans="1:7">
      <c r="A272" s="112"/>
      <c r="B272" s="112"/>
      <c r="C272" s="113"/>
      <c r="D272" s="113"/>
      <c r="E272" s="113"/>
      <c r="F272" s="113"/>
      <c r="G272" s="114"/>
    </row>
    <row r="273" spans="1:7" ht="15.75">
      <c r="A273" s="115" t="s">
        <v>216</v>
      </c>
      <c r="B273" s="115"/>
      <c r="C273" s="116"/>
      <c r="D273" s="116"/>
      <c r="E273" s="116"/>
      <c r="F273" s="44" t="s">
        <v>41</v>
      </c>
      <c r="G273" s="117"/>
    </row>
    <row r="275" spans="1:7">
      <c r="G275" s="23"/>
    </row>
  </sheetData>
  <autoFilter ref="A6:G271">
    <filterColumn colId="1">
      <filters>
        <filter val="169"/>
      </filters>
    </filterColumn>
    <filterColumn colId="2"/>
    <filterColumn colId="3"/>
  </autoFilter>
  <mergeCells count="1">
    <mergeCell ref="A4:G4"/>
  </mergeCells>
  <printOptions horizontalCentered="1"/>
  <pageMargins left="0.78740157480314965" right="0.78740157480314965" top="0.47244094488188981" bottom="0.31496062992125984" header="0.51181102362204722" footer="0.51181102362204722"/>
  <pageSetup paperSize="9" scale="66" fitToHeight="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A2" sqref="A2:B27"/>
    </sheetView>
  </sheetViews>
  <sheetFormatPr defaultRowHeight="12.75"/>
  <cols>
    <col min="1" max="1" width="50.42578125" customWidth="1"/>
    <col min="2" max="2" width="37.7109375" customWidth="1"/>
  </cols>
  <sheetData>
    <row r="1" spans="1:2">
      <c r="B1" s="298" t="s">
        <v>350</v>
      </c>
    </row>
    <row r="2" spans="1:2" ht="63" customHeight="1">
      <c r="A2" s="311" t="s">
        <v>351</v>
      </c>
      <c r="B2" s="311"/>
    </row>
    <row r="3" spans="1:2" ht="15.75">
      <c r="A3" s="296"/>
    </row>
    <row r="4" spans="1:2" ht="13.5" thickBot="1">
      <c r="B4" s="298" t="s">
        <v>43</v>
      </c>
    </row>
    <row r="5" spans="1:2" ht="16.5" thickBot="1">
      <c r="A5" s="52" t="s">
        <v>44</v>
      </c>
      <c r="B5" s="299" t="s">
        <v>63</v>
      </c>
    </row>
    <row r="6" spans="1:2" ht="15.75">
      <c r="A6" s="45" t="s">
        <v>45</v>
      </c>
      <c r="B6" s="44">
        <f>2.4</f>
        <v>2.4</v>
      </c>
    </row>
    <row r="7" spans="1:2" ht="15.75">
      <c r="A7" s="45" t="s">
        <v>46</v>
      </c>
      <c r="B7" s="44">
        <v>1.8</v>
      </c>
    </row>
    <row r="8" spans="1:2" ht="15.75">
      <c r="A8" s="45" t="s">
        <v>47</v>
      </c>
      <c r="B8" s="44">
        <v>3.8</v>
      </c>
    </row>
    <row r="9" spans="1:2" ht="15.75">
      <c r="A9" s="45" t="s">
        <v>48</v>
      </c>
      <c r="B9" s="44">
        <v>1.7</v>
      </c>
    </row>
    <row r="10" spans="1:2" ht="15.75">
      <c r="A10" s="45" t="s">
        <v>49</v>
      </c>
      <c r="B10" s="44">
        <v>1.9</v>
      </c>
    </row>
    <row r="11" spans="1:2" ht="15.75">
      <c r="A11" s="45" t="s">
        <v>50</v>
      </c>
      <c r="B11" s="44">
        <v>3.3</v>
      </c>
    </row>
    <row r="12" spans="1:2" ht="15.75">
      <c r="A12" s="45" t="s">
        <v>51</v>
      </c>
      <c r="B12" s="44">
        <v>2.2999999999999998</v>
      </c>
    </row>
    <row r="13" spans="1:2" ht="15.75">
      <c r="A13" s="45" t="s">
        <v>52</v>
      </c>
      <c r="B13" s="44">
        <v>2.6</v>
      </c>
    </row>
    <row r="14" spans="1:2" ht="15.75">
      <c r="A14" s="45" t="s">
        <v>53</v>
      </c>
      <c r="B14" s="44">
        <v>2.2000000000000002</v>
      </c>
    </row>
    <row r="15" spans="1:2" ht="15.75">
      <c r="A15" s="45" t="s">
        <v>54</v>
      </c>
      <c r="B15" s="44">
        <v>3.8</v>
      </c>
    </row>
    <row r="16" spans="1:2" ht="15.75">
      <c r="A16" s="45" t="s">
        <v>55</v>
      </c>
      <c r="B16" s="44">
        <v>2.2000000000000002</v>
      </c>
    </row>
    <row r="17" spans="1:2" ht="15.75">
      <c r="A17" s="45" t="s">
        <v>56</v>
      </c>
      <c r="B17" s="44">
        <v>3.3</v>
      </c>
    </row>
    <row r="18" spans="1:2" ht="15.75">
      <c r="A18" s="45" t="s">
        <v>57</v>
      </c>
      <c r="B18" s="44">
        <v>2</v>
      </c>
    </row>
    <row r="19" spans="1:2" ht="15.75">
      <c r="A19" s="45" t="s">
        <v>58</v>
      </c>
      <c r="B19" s="44">
        <v>4</v>
      </c>
    </row>
    <row r="20" spans="1:2" ht="15.75">
      <c r="A20" s="45" t="s">
        <v>59</v>
      </c>
      <c r="B20" s="44">
        <v>1.8</v>
      </c>
    </row>
    <row r="21" spans="1:2" ht="15.75">
      <c r="A21" s="45" t="s">
        <v>60</v>
      </c>
      <c r="B21" s="44">
        <v>2.4</v>
      </c>
    </row>
    <row r="22" spans="1:2" ht="15.75">
      <c r="A22" s="45" t="s">
        <v>61</v>
      </c>
      <c r="B22" s="44">
        <v>1.8</v>
      </c>
    </row>
    <row r="23" spans="1:2" ht="15.75">
      <c r="A23" s="45"/>
      <c r="B23" s="44"/>
    </row>
    <row r="24" spans="1:2" ht="15.75">
      <c r="A24" s="45" t="s">
        <v>352</v>
      </c>
      <c r="B24" s="44">
        <f>SUM(B6:B23)</f>
        <v>43.29999999999999</v>
      </c>
    </row>
    <row r="26" spans="1:2" ht="18" customHeight="1">
      <c r="A26" s="35" t="s">
        <v>39</v>
      </c>
      <c r="B26" s="298"/>
    </row>
    <row r="27" spans="1:2" ht="29.25" customHeight="1">
      <c r="A27" s="297" t="s">
        <v>40</v>
      </c>
      <c r="B27" s="37" t="s">
        <v>41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B8" sqref="B8"/>
    </sheetView>
  </sheetViews>
  <sheetFormatPr defaultRowHeight="12.75"/>
  <cols>
    <col min="1" max="1" width="34.7109375" customWidth="1"/>
    <col min="2" max="3" width="24.42578125" customWidth="1"/>
  </cols>
  <sheetData>
    <row r="1" spans="1:3">
      <c r="B1" s="314" t="s">
        <v>354</v>
      </c>
      <c r="C1" s="314"/>
    </row>
    <row r="2" spans="1:3" ht="31.5" hidden="1" customHeight="1">
      <c r="B2" s="315" t="s">
        <v>42</v>
      </c>
      <c r="C2" s="315"/>
    </row>
    <row r="3" spans="1:3" ht="58.5" customHeight="1">
      <c r="A3" s="311" t="s">
        <v>353</v>
      </c>
      <c r="B3" s="311"/>
      <c r="C3" s="311"/>
    </row>
    <row r="4" spans="1:3" ht="15.75">
      <c r="A4" s="296"/>
    </row>
    <row r="5" spans="1:3" ht="13.5" thickBot="1">
      <c r="B5" s="298"/>
      <c r="C5" s="298" t="s">
        <v>43</v>
      </c>
    </row>
    <row r="6" spans="1:3" ht="16.5" thickBot="1">
      <c r="A6" s="52" t="s">
        <v>44</v>
      </c>
      <c r="B6" s="40">
        <v>2015</v>
      </c>
      <c r="C6" s="41">
        <v>2016</v>
      </c>
    </row>
    <row r="7" spans="1:3" ht="15.75">
      <c r="A7" s="45" t="s">
        <v>45</v>
      </c>
      <c r="B7" s="44">
        <f>[3]загс2013!B7</f>
        <v>2.4</v>
      </c>
      <c r="C7" s="44">
        <f>B7</f>
        <v>2.4</v>
      </c>
    </row>
    <row r="8" spans="1:3" ht="15.75">
      <c r="A8" s="45" t="s">
        <v>46</v>
      </c>
      <c r="B8" s="44">
        <f>[3]загс2013!B8</f>
        <v>1.8</v>
      </c>
      <c r="C8" s="44">
        <f t="shared" ref="C8:C23" si="0">B8</f>
        <v>1.8</v>
      </c>
    </row>
    <row r="9" spans="1:3" ht="15.75">
      <c r="A9" s="45" t="s">
        <v>47</v>
      </c>
      <c r="B9" s="44">
        <f>[3]загс2013!B9</f>
        <v>3.8</v>
      </c>
      <c r="C9" s="44">
        <f t="shared" si="0"/>
        <v>3.8</v>
      </c>
    </row>
    <row r="10" spans="1:3" ht="15.75">
      <c r="A10" s="45" t="s">
        <v>48</v>
      </c>
      <c r="B10" s="44">
        <f>[3]загс2013!B10</f>
        <v>1.7</v>
      </c>
      <c r="C10" s="44">
        <f t="shared" si="0"/>
        <v>1.7</v>
      </c>
    </row>
    <row r="11" spans="1:3" ht="15.75">
      <c r="A11" s="45" t="s">
        <v>49</v>
      </c>
      <c r="B11" s="44">
        <f>[3]загс2013!B11</f>
        <v>1.9</v>
      </c>
      <c r="C11" s="44">
        <f t="shared" si="0"/>
        <v>1.9</v>
      </c>
    </row>
    <row r="12" spans="1:3" ht="15.75">
      <c r="A12" s="45" t="s">
        <v>50</v>
      </c>
      <c r="B12" s="44">
        <f>[3]загс2013!B12</f>
        <v>3.3</v>
      </c>
      <c r="C12" s="44">
        <f t="shared" si="0"/>
        <v>3.3</v>
      </c>
    </row>
    <row r="13" spans="1:3" ht="15.75">
      <c r="A13" s="45" t="s">
        <v>51</v>
      </c>
      <c r="B13" s="44">
        <f>[3]загс2013!B13</f>
        <v>2.2999999999999998</v>
      </c>
      <c r="C13" s="44">
        <f t="shared" si="0"/>
        <v>2.2999999999999998</v>
      </c>
    </row>
    <row r="14" spans="1:3" ht="15.75">
      <c r="A14" s="45" t="s">
        <v>52</v>
      </c>
      <c r="B14" s="44">
        <f>[3]загс2013!B14</f>
        <v>2.6</v>
      </c>
      <c r="C14" s="44">
        <f t="shared" si="0"/>
        <v>2.6</v>
      </c>
    </row>
    <row r="15" spans="1:3" ht="15.75">
      <c r="A15" s="45" t="s">
        <v>53</v>
      </c>
      <c r="B15" s="44">
        <f>[3]загс2013!B15</f>
        <v>2.2000000000000002</v>
      </c>
      <c r="C15" s="44">
        <f t="shared" si="0"/>
        <v>2.2000000000000002</v>
      </c>
    </row>
    <row r="16" spans="1:3" ht="15.75">
      <c r="A16" s="45" t="s">
        <v>54</v>
      </c>
      <c r="B16" s="44">
        <f>[3]загс2013!B16</f>
        <v>3.8</v>
      </c>
      <c r="C16" s="44">
        <f t="shared" si="0"/>
        <v>3.8</v>
      </c>
    </row>
    <row r="17" spans="1:3" ht="15.75">
      <c r="A17" s="45" t="s">
        <v>55</v>
      </c>
      <c r="B17" s="44">
        <f>[3]загс2013!B17</f>
        <v>2.2000000000000002</v>
      </c>
      <c r="C17" s="44">
        <f t="shared" si="0"/>
        <v>2.2000000000000002</v>
      </c>
    </row>
    <row r="18" spans="1:3" ht="15.75">
      <c r="A18" s="45" t="s">
        <v>56</v>
      </c>
      <c r="B18" s="44">
        <f>[3]загс2013!B18</f>
        <v>3.3</v>
      </c>
      <c r="C18" s="44">
        <f t="shared" si="0"/>
        <v>3.3</v>
      </c>
    </row>
    <row r="19" spans="1:3" ht="15.75">
      <c r="A19" s="45" t="s">
        <v>57</v>
      </c>
      <c r="B19" s="44">
        <f>[3]загс2013!B19</f>
        <v>2</v>
      </c>
      <c r="C19" s="44">
        <f t="shared" si="0"/>
        <v>2</v>
      </c>
    </row>
    <row r="20" spans="1:3" ht="15.75">
      <c r="A20" s="45" t="s">
        <v>58</v>
      </c>
      <c r="B20" s="44">
        <f>[3]загс2013!B20</f>
        <v>4</v>
      </c>
      <c r="C20" s="44">
        <f t="shared" si="0"/>
        <v>4</v>
      </c>
    </row>
    <row r="21" spans="1:3" ht="15.75">
      <c r="A21" s="45" t="s">
        <v>59</v>
      </c>
      <c r="B21" s="44">
        <f>[3]загс2013!B21</f>
        <v>1.8</v>
      </c>
      <c r="C21" s="44">
        <f t="shared" si="0"/>
        <v>1.8</v>
      </c>
    </row>
    <row r="22" spans="1:3" ht="15.75">
      <c r="A22" s="45" t="s">
        <v>60</v>
      </c>
      <c r="B22" s="44">
        <f>[3]загс2013!B22</f>
        <v>2.4</v>
      </c>
      <c r="C22" s="44">
        <f t="shared" si="0"/>
        <v>2.4</v>
      </c>
    </row>
    <row r="23" spans="1:3" ht="15.75">
      <c r="A23" s="45" t="s">
        <v>61</v>
      </c>
      <c r="B23" s="44">
        <f>[3]загс2013!B23</f>
        <v>1.8</v>
      </c>
      <c r="C23" s="44">
        <f t="shared" si="0"/>
        <v>1.8</v>
      </c>
    </row>
    <row r="24" spans="1:3" ht="15.75">
      <c r="A24" s="45"/>
      <c r="B24" s="44"/>
      <c r="C24" s="44"/>
    </row>
    <row r="25" spans="1:3" ht="15.75">
      <c r="A25" s="45" t="s">
        <v>352</v>
      </c>
      <c r="B25" s="300">
        <f>SUM(B7:B24)</f>
        <v>43.29999999999999</v>
      </c>
      <c r="C25" s="300">
        <f>SUM(C7:C24)</f>
        <v>43.29999999999999</v>
      </c>
    </row>
    <row r="27" spans="1:3" ht="15.75">
      <c r="A27" s="35" t="s">
        <v>39</v>
      </c>
      <c r="B27" s="298"/>
    </row>
    <row r="28" spans="1:3" ht="31.5">
      <c r="A28" s="297" t="s">
        <v>40</v>
      </c>
      <c r="B28" s="37"/>
      <c r="C28" s="37" t="s">
        <v>41</v>
      </c>
    </row>
  </sheetData>
  <mergeCells count="3">
    <mergeCell ref="B1:C1"/>
    <mergeCell ref="B2:C2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topLeftCell="A186" workbookViewId="0">
      <selection activeCell="A189" sqref="A189"/>
    </sheetView>
  </sheetViews>
  <sheetFormatPr defaultRowHeight="12.75"/>
  <cols>
    <col min="1" max="1" width="74.140625" customWidth="1"/>
    <col min="2" max="2" width="7.140625" customWidth="1"/>
    <col min="3" max="3" width="4.7109375" customWidth="1"/>
    <col min="4" max="4" width="12.140625" customWidth="1"/>
    <col min="5" max="5" width="7.85546875" customWidth="1"/>
    <col min="6" max="6" width="18.5703125" customWidth="1"/>
    <col min="7" max="7" width="11.5703125" customWidth="1"/>
    <col min="8" max="8" width="13" customWidth="1"/>
    <col min="9" max="9" width="9.5703125" bestFit="1" customWidth="1"/>
  </cols>
  <sheetData>
    <row r="1" spans="1:8" ht="12" customHeight="1">
      <c r="A1" s="2"/>
      <c r="B1" s="2"/>
      <c r="C1" s="2"/>
      <c r="D1" s="2"/>
      <c r="E1" s="2"/>
      <c r="F1" s="5" t="s">
        <v>70</v>
      </c>
    </row>
    <row r="2" spans="1:8" ht="68.25" hidden="1" customHeight="1">
      <c r="A2" s="63"/>
      <c r="B2" s="63"/>
      <c r="C2" s="63"/>
      <c r="D2" s="4"/>
      <c r="E2" s="4"/>
      <c r="F2" s="48" t="s">
        <v>71</v>
      </c>
    </row>
    <row r="3" spans="1:8">
      <c r="A3" s="64"/>
      <c r="B3" s="64"/>
      <c r="C3" s="64"/>
      <c r="D3" s="64"/>
      <c r="E3" s="64"/>
      <c r="F3" s="64"/>
    </row>
    <row r="4" spans="1:8" ht="72" customHeight="1">
      <c r="A4" s="310" t="s">
        <v>249</v>
      </c>
      <c r="B4" s="310"/>
      <c r="C4" s="310"/>
      <c r="D4" s="310"/>
      <c r="E4" s="310"/>
      <c r="F4" s="310"/>
    </row>
    <row r="5" spans="1:8" ht="13.5" thickBot="1">
      <c r="A5" s="65"/>
      <c r="B5" s="65"/>
      <c r="C5" s="65"/>
      <c r="D5" s="65"/>
      <c r="E5" s="65"/>
      <c r="F5" s="66" t="s">
        <v>2</v>
      </c>
    </row>
    <row r="6" spans="1:8" ht="16.5" thickBot="1">
      <c r="A6" s="67" t="s">
        <v>3</v>
      </c>
      <c r="B6" s="68" t="s">
        <v>72</v>
      </c>
      <c r="C6" s="68" t="s">
        <v>73</v>
      </c>
      <c r="D6" s="68" t="s">
        <v>74</v>
      </c>
      <c r="E6" s="68" t="s">
        <v>75</v>
      </c>
      <c r="F6" s="69" t="s">
        <v>63</v>
      </c>
    </row>
    <row r="7" spans="1:8">
      <c r="A7" s="244" t="s">
        <v>76</v>
      </c>
      <c r="B7" s="245" t="s">
        <v>77</v>
      </c>
      <c r="C7" s="245" t="s">
        <v>78</v>
      </c>
      <c r="D7" s="245" t="s">
        <v>79</v>
      </c>
      <c r="E7" s="246" t="s">
        <v>80</v>
      </c>
      <c r="F7" s="247">
        <f>F8+F12+F18+F29+F35+F40</f>
        <v>41225.770000000004</v>
      </c>
    </row>
    <row r="8" spans="1:8" ht="25.5">
      <c r="A8" s="70" t="s">
        <v>81</v>
      </c>
      <c r="B8" s="71" t="s">
        <v>77</v>
      </c>
      <c r="C8" s="71" t="s">
        <v>82</v>
      </c>
      <c r="D8" s="71" t="s">
        <v>79</v>
      </c>
      <c r="E8" s="71" t="s">
        <v>80</v>
      </c>
      <c r="F8" s="72">
        <f>F9</f>
        <v>1902</v>
      </c>
      <c r="H8" s="23"/>
    </row>
    <row r="9" spans="1:8" ht="54" customHeight="1">
      <c r="A9" s="73" t="s">
        <v>83</v>
      </c>
      <c r="B9" s="74" t="s">
        <v>77</v>
      </c>
      <c r="C9" s="74" t="s">
        <v>82</v>
      </c>
      <c r="D9" s="74" t="s">
        <v>84</v>
      </c>
      <c r="E9" s="74" t="s">
        <v>80</v>
      </c>
      <c r="F9" s="75">
        <f>F10</f>
        <v>1902</v>
      </c>
    </row>
    <row r="10" spans="1:8" ht="47.25" customHeight="1">
      <c r="A10" s="73" t="s">
        <v>83</v>
      </c>
      <c r="B10" s="74" t="s">
        <v>77</v>
      </c>
      <c r="C10" s="74" t="s">
        <v>82</v>
      </c>
      <c r="D10" s="74" t="s">
        <v>85</v>
      </c>
      <c r="E10" s="74" t="s">
        <v>80</v>
      </c>
      <c r="F10" s="75">
        <f>F11</f>
        <v>1902</v>
      </c>
    </row>
    <row r="11" spans="1:8" ht="47.25" customHeight="1">
      <c r="A11" s="256" t="s">
        <v>218</v>
      </c>
      <c r="B11" s="74" t="s">
        <v>77</v>
      </c>
      <c r="C11" s="74" t="s">
        <v>82</v>
      </c>
      <c r="D11" s="74" t="s">
        <v>85</v>
      </c>
      <c r="E11" s="93" t="s">
        <v>217</v>
      </c>
      <c r="F11" s="75">
        <f>1461+441</f>
        <v>1902</v>
      </c>
    </row>
    <row r="12" spans="1:8" ht="38.25">
      <c r="A12" s="70" t="s">
        <v>86</v>
      </c>
      <c r="B12" s="76" t="s">
        <v>77</v>
      </c>
      <c r="C12" s="76" t="s">
        <v>87</v>
      </c>
      <c r="D12" s="76" t="s">
        <v>79</v>
      </c>
      <c r="E12" s="76" t="s">
        <v>80</v>
      </c>
      <c r="F12" s="72">
        <f>F13</f>
        <v>9931.7000000000007</v>
      </c>
    </row>
    <row r="13" spans="1:8" ht="38.25">
      <c r="A13" s="73" t="s">
        <v>83</v>
      </c>
      <c r="B13" s="74" t="s">
        <v>77</v>
      </c>
      <c r="C13" s="74" t="s">
        <v>87</v>
      </c>
      <c r="D13" s="74" t="s">
        <v>84</v>
      </c>
      <c r="E13" s="74" t="s">
        <v>80</v>
      </c>
      <c r="F13" s="75">
        <f>F14</f>
        <v>9931.7000000000007</v>
      </c>
    </row>
    <row r="14" spans="1:8">
      <c r="A14" s="77" t="s">
        <v>88</v>
      </c>
      <c r="B14" s="74" t="s">
        <v>77</v>
      </c>
      <c r="C14" s="74" t="s">
        <v>87</v>
      </c>
      <c r="D14" s="74" t="s">
        <v>89</v>
      </c>
      <c r="E14" s="74" t="s">
        <v>80</v>
      </c>
      <c r="F14" s="75">
        <f>F15+F16+F17</f>
        <v>9931.7000000000007</v>
      </c>
    </row>
    <row r="15" spans="1:8" ht="38.25">
      <c r="A15" s="256" t="s">
        <v>218</v>
      </c>
      <c r="B15" s="74" t="s">
        <v>77</v>
      </c>
      <c r="C15" s="74" t="s">
        <v>87</v>
      </c>
      <c r="D15" s="74" t="s">
        <v>89</v>
      </c>
      <c r="E15" s="93" t="s">
        <v>217</v>
      </c>
      <c r="F15" s="75">
        <v>4589</v>
      </c>
    </row>
    <row r="16" spans="1:8">
      <c r="A16" s="95" t="s">
        <v>221</v>
      </c>
      <c r="B16" s="74" t="s">
        <v>77</v>
      </c>
      <c r="C16" s="74" t="s">
        <v>87</v>
      </c>
      <c r="D16" s="74" t="s">
        <v>89</v>
      </c>
      <c r="E16" s="93" t="s">
        <v>219</v>
      </c>
      <c r="F16" s="75">
        <v>5165.7</v>
      </c>
    </row>
    <row r="17" spans="1:6">
      <c r="A17" s="95" t="s">
        <v>222</v>
      </c>
      <c r="B17" s="74" t="s">
        <v>77</v>
      </c>
      <c r="C17" s="74" t="s">
        <v>87</v>
      </c>
      <c r="D17" s="74" t="s">
        <v>89</v>
      </c>
      <c r="E17" s="93" t="s">
        <v>220</v>
      </c>
      <c r="F17" s="264">
        <f>180-3</f>
        <v>177</v>
      </c>
    </row>
    <row r="18" spans="1:6" ht="38.25">
      <c r="A18" s="70" t="s">
        <v>92</v>
      </c>
      <c r="B18" s="78" t="s">
        <v>77</v>
      </c>
      <c r="C18" s="78" t="s">
        <v>93</v>
      </c>
      <c r="D18" s="76" t="s">
        <v>79</v>
      </c>
      <c r="E18" s="79" t="s">
        <v>80</v>
      </c>
      <c r="F18" s="80">
        <f>F19+F24</f>
        <v>12199</v>
      </c>
    </row>
    <row r="19" spans="1:6" ht="38.25">
      <c r="A19" s="73" t="s">
        <v>83</v>
      </c>
      <c r="B19" s="81" t="s">
        <v>77</v>
      </c>
      <c r="C19" s="81" t="s">
        <v>93</v>
      </c>
      <c r="D19" s="82" t="s">
        <v>84</v>
      </c>
      <c r="E19" s="82" t="s">
        <v>80</v>
      </c>
      <c r="F19" s="83">
        <f>F20</f>
        <v>11690</v>
      </c>
    </row>
    <row r="20" spans="1:6">
      <c r="A20" s="84" t="s">
        <v>94</v>
      </c>
      <c r="B20" s="81" t="s">
        <v>77</v>
      </c>
      <c r="C20" s="81" t="s">
        <v>93</v>
      </c>
      <c r="D20" s="82" t="s">
        <v>89</v>
      </c>
      <c r="E20" s="82" t="s">
        <v>80</v>
      </c>
      <c r="F20" s="83">
        <f>F21+F22+F23</f>
        <v>11690</v>
      </c>
    </row>
    <row r="21" spans="1:6">
      <c r="A21" s="84" t="s">
        <v>90</v>
      </c>
      <c r="B21" s="81" t="s">
        <v>77</v>
      </c>
      <c r="C21" s="81" t="s">
        <v>93</v>
      </c>
      <c r="D21" s="82" t="s">
        <v>89</v>
      </c>
      <c r="E21" s="88" t="s">
        <v>217</v>
      </c>
      <c r="F21" s="85">
        <f>'2014 ведомст'!G28+'2014 ведомст'!G116+'2014 ведомст'!G212+'2014 ведомст'!G181</f>
        <v>7079.5999999999995</v>
      </c>
    </row>
    <row r="22" spans="1:6">
      <c r="A22" s="95" t="s">
        <v>221</v>
      </c>
      <c r="B22" s="81" t="s">
        <v>77</v>
      </c>
      <c r="C22" s="81" t="s">
        <v>93</v>
      </c>
      <c r="D22" s="82" t="s">
        <v>89</v>
      </c>
      <c r="E22" s="88" t="s">
        <v>219</v>
      </c>
      <c r="F22" s="85">
        <f>'2014 ведомст'!G29+'2014 ведомст'!G117+'2014 ведомст'!G213+'2014 ведомст'!G182</f>
        <v>4550.3999999999996</v>
      </c>
    </row>
    <row r="23" spans="1:6">
      <c r="A23" s="95" t="s">
        <v>222</v>
      </c>
      <c r="B23" s="81" t="s">
        <v>77</v>
      </c>
      <c r="C23" s="81" t="s">
        <v>93</v>
      </c>
      <c r="D23" s="82" t="s">
        <v>89</v>
      </c>
      <c r="E23" s="88" t="s">
        <v>220</v>
      </c>
      <c r="F23" s="85">
        <f>'2014 ведомст'!G30+'2014 ведомст'!G214</f>
        <v>60</v>
      </c>
    </row>
    <row r="24" spans="1:6">
      <c r="A24" s="95" t="s">
        <v>95</v>
      </c>
      <c r="B24" s="102" t="s">
        <v>77</v>
      </c>
      <c r="C24" s="102" t="s">
        <v>93</v>
      </c>
      <c r="D24" s="88" t="s">
        <v>96</v>
      </c>
      <c r="E24" s="88" t="s">
        <v>80</v>
      </c>
      <c r="F24" s="85">
        <f>F25+F27</f>
        <v>509</v>
      </c>
    </row>
    <row r="25" spans="1:6" ht="25.5">
      <c r="A25" s="84" t="s">
        <v>97</v>
      </c>
      <c r="B25" s="88" t="s">
        <v>77</v>
      </c>
      <c r="C25" s="88" t="s">
        <v>93</v>
      </c>
      <c r="D25" s="88" t="s">
        <v>98</v>
      </c>
      <c r="E25" s="88" t="s">
        <v>80</v>
      </c>
      <c r="F25" s="83">
        <f>F26</f>
        <v>254.5</v>
      </c>
    </row>
    <row r="26" spans="1:6" ht="38.25">
      <c r="A26" s="256" t="s">
        <v>218</v>
      </c>
      <c r="B26" s="88" t="s">
        <v>77</v>
      </c>
      <c r="C26" s="88" t="s">
        <v>93</v>
      </c>
      <c r="D26" s="82" t="s">
        <v>98</v>
      </c>
      <c r="E26" s="88" t="s">
        <v>217</v>
      </c>
      <c r="F26" s="83">
        <v>254.5</v>
      </c>
    </row>
    <row r="27" spans="1:6">
      <c r="A27" s="118" t="s">
        <v>99</v>
      </c>
      <c r="B27" s="88" t="s">
        <v>77</v>
      </c>
      <c r="C27" s="88" t="s">
        <v>93</v>
      </c>
      <c r="D27" s="82" t="s">
        <v>100</v>
      </c>
      <c r="E27" s="82" t="s">
        <v>80</v>
      </c>
      <c r="F27" s="83">
        <f>F28</f>
        <v>254.5</v>
      </c>
    </row>
    <row r="28" spans="1:6" ht="38.25">
      <c r="A28" s="256" t="s">
        <v>218</v>
      </c>
      <c r="B28" s="88" t="s">
        <v>77</v>
      </c>
      <c r="C28" s="88" t="s">
        <v>93</v>
      </c>
      <c r="D28" s="82" t="s">
        <v>100</v>
      </c>
      <c r="E28" s="88" t="s">
        <v>217</v>
      </c>
      <c r="F28" s="83">
        <v>254.5</v>
      </c>
    </row>
    <row r="29" spans="1:6" ht="32.25" customHeight="1">
      <c r="A29" s="89" t="s">
        <v>101</v>
      </c>
      <c r="B29" s="90" t="s">
        <v>77</v>
      </c>
      <c r="C29" s="90" t="s">
        <v>102</v>
      </c>
      <c r="D29" s="79" t="s">
        <v>79</v>
      </c>
      <c r="E29" s="79" t="s">
        <v>80</v>
      </c>
      <c r="F29" s="80">
        <f>F30</f>
        <v>6263</v>
      </c>
    </row>
    <row r="30" spans="1:6" ht="38.25">
      <c r="A30" s="73" t="s">
        <v>83</v>
      </c>
      <c r="B30" s="81" t="s">
        <v>77</v>
      </c>
      <c r="C30" s="81" t="s">
        <v>102</v>
      </c>
      <c r="D30" s="82" t="s">
        <v>84</v>
      </c>
      <c r="E30" s="82" t="s">
        <v>80</v>
      </c>
      <c r="F30" s="83">
        <f>F31</f>
        <v>6263</v>
      </c>
    </row>
    <row r="31" spans="1:6">
      <c r="A31" s="84" t="s">
        <v>94</v>
      </c>
      <c r="B31" s="81" t="s">
        <v>77</v>
      </c>
      <c r="C31" s="81" t="s">
        <v>102</v>
      </c>
      <c r="D31" s="82" t="s">
        <v>89</v>
      </c>
      <c r="E31" s="82" t="s">
        <v>80</v>
      </c>
      <c r="F31" s="83">
        <f>F32+F33+F34</f>
        <v>6263</v>
      </c>
    </row>
    <row r="32" spans="1:6" ht="38.25">
      <c r="A32" s="256" t="s">
        <v>218</v>
      </c>
      <c r="B32" s="81" t="s">
        <v>77</v>
      </c>
      <c r="C32" s="81" t="s">
        <v>102</v>
      </c>
      <c r="D32" s="82" t="s">
        <v>89</v>
      </c>
      <c r="E32" s="88" t="s">
        <v>217</v>
      </c>
      <c r="F32" s="83">
        <f>'2014 ведомст'!G92+'2014 ведомст'!G247</f>
        <v>4706.6000000000004</v>
      </c>
    </row>
    <row r="33" spans="1:6">
      <c r="A33" s="95" t="s">
        <v>221</v>
      </c>
      <c r="B33" s="81" t="s">
        <v>77</v>
      </c>
      <c r="C33" s="81" t="s">
        <v>102</v>
      </c>
      <c r="D33" s="82" t="s">
        <v>89</v>
      </c>
      <c r="E33" s="88" t="s">
        <v>219</v>
      </c>
      <c r="F33" s="83">
        <f>'2014 ведомст'!G248+'2014 ведомст'!G93</f>
        <v>1530.9</v>
      </c>
    </row>
    <row r="34" spans="1:6">
      <c r="A34" s="95" t="s">
        <v>222</v>
      </c>
      <c r="B34" s="81" t="s">
        <v>77</v>
      </c>
      <c r="C34" s="81" t="s">
        <v>102</v>
      </c>
      <c r="D34" s="82" t="s">
        <v>89</v>
      </c>
      <c r="E34" s="88" t="s">
        <v>220</v>
      </c>
      <c r="F34" s="83">
        <f>'2014 ведомст'!G94+'2014 ведомст'!G249</f>
        <v>25.5</v>
      </c>
    </row>
    <row r="35" spans="1:6">
      <c r="A35" s="89" t="s">
        <v>103</v>
      </c>
      <c r="B35" s="90" t="s">
        <v>77</v>
      </c>
      <c r="C35" s="90" t="s">
        <v>104</v>
      </c>
      <c r="D35" s="79" t="s">
        <v>79</v>
      </c>
      <c r="E35" s="79" t="s">
        <v>80</v>
      </c>
      <c r="F35" s="80">
        <f>F36</f>
        <v>3838.6</v>
      </c>
    </row>
    <row r="36" spans="1:6">
      <c r="A36" s="84" t="s">
        <v>103</v>
      </c>
      <c r="B36" s="81" t="s">
        <v>77</v>
      </c>
      <c r="C36" s="81" t="s">
        <v>104</v>
      </c>
      <c r="D36" s="82" t="s">
        <v>105</v>
      </c>
      <c r="E36" s="82" t="s">
        <v>80</v>
      </c>
      <c r="F36" s="83">
        <f>F37</f>
        <v>3838.6</v>
      </c>
    </row>
    <row r="37" spans="1:6">
      <c r="A37" s="84" t="s">
        <v>106</v>
      </c>
      <c r="B37" s="81" t="s">
        <v>77</v>
      </c>
      <c r="C37" s="81" t="s">
        <v>104</v>
      </c>
      <c r="D37" s="82" t="s">
        <v>105</v>
      </c>
      <c r="E37" s="82" t="s">
        <v>80</v>
      </c>
      <c r="F37" s="83">
        <f>F38</f>
        <v>3838.6</v>
      </c>
    </row>
    <row r="38" spans="1:6">
      <c r="A38" s="73" t="s">
        <v>107</v>
      </c>
      <c r="B38" s="81" t="s">
        <v>77</v>
      </c>
      <c r="C38" s="81" t="s">
        <v>104</v>
      </c>
      <c r="D38" s="82" t="s">
        <v>108</v>
      </c>
      <c r="E38" s="82" t="s">
        <v>80</v>
      </c>
      <c r="F38" s="83">
        <f>F39</f>
        <v>3838.6</v>
      </c>
    </row>
    <row r="39" spans="1:6">
      <c r="A39" s="95" t="s">
        <v>222</v>
      </c>
      <c r="B39" s="81" t="s">
        <v>77</v>
      </c>
      <c r="C39" s="81" t="s">
        <v>104</v>
      </c>
      <c r="D39" s="82" t="s">
        <v>108</v>
      </c>
      <c r="E39" s="88" t="s">
        <v>220</v>
      </c>
      <c r="F39" s="83">
        <v>3838.6</v>
      </c>
    </row>
    <row r="40" spans="1:6">
      <c r="A40" s="89" t="s">
        <v>109</v>
      </c>
      <c r="B40" s="90" t="s">
        <v>77</v>
      </c>
      <c r="C40" s="90" t="s">
        <v>110</v>
      </c>
      <c r="D40" s="79" t="s">
        <v>79</v>
      </c>
      <c r="E40" s="79" t="s">
        <v>80</v>
      </c>
      <c r="F40" s="80">
        <f>F46+F59+F62+F56+F41</f>
        <v>7091.4700000000012</v>
      </c>
    </row>
    <row r="41" spans="1:6">
      <c r="A41" s="70" t="s">
        <v>111</v>
      </c>
      <c r="B41" s="90" t="s">
        <v>77</v>
      </c>
      <c r="C41" s="90" t="s">
        <v>110</v>
      </c>
      <c r="D41" s="79" t="s">
        <v>112</v>
      </c>
      <c r="E41" s="79" t="s">
        <v>80</v>
      </c>
      <c r="F41" s="302">
        <f t="shared" ref="F41" si="0">F42</f>
        <v>794.6</v>
      </c>
    </row>
    <row r="42" spans="1:6">
      <c r="A42" s="73" t="s">
        <v>355</v>
      </c>
      <c r="B42" s="81" t="s">
        <v>77</v>
      </c>
      <c r="C42" s="102" t="s">
        <v>110</v>
      </c>
      <c r="D42" s="301" t="s">
        <v>356</v>
      </c>
      <c r="E42" s="82" t="s">
        <v>80</v>
      </c>
      <c r="F42" s="303">
        <f>F43+F44+F45</f>
        <v>794.6</v>
      </c>
    </row>
    <row r="43" spans="1:6" ht="38.25">
      <c r="A43" s="256" t="s">
        <v>218</v>
      </c>
      <c r="B43" s="81" t="s">
        <v>77</v>
      </c>
      <c r="C43" s="102" t="s">
        <v>110</v>
      </c>
      <c r="D43" s="301" t="s">
        <v>356</v>
      </c>
      <c r="E43" s="88" t="s">
        <v>217</v>
      </c>
      <c r="F43" s="303">
        <v>669.7</v>
      </c>
    </row>
    <row r="44" spans="1:6">
      <c r="A44" s="95" t="s">
        <v>221</v>
      </c>
      <c r="B44" s="81" t="s">
        <v>77</v>
      </c>
      <c r="C44" s="102" t="s">
        <v>110</v>
      </c>
      <c r="D44" s="301" t="s">
        <v>356</v>
      </c>
      <c r="E44" s="88" t="s">
        <v>219</v>
      </c>
      <c r="F44" s="303">
        <f>81.6</f>
        <v>81.599999999999994</v>
      </c>
    </row>
    <row r="45" spans="1:6">
      <c r="A45" s="309" t="s">
        <v>95</v>
      </c>
      <c r="B45" s="81" t="s">
        <v>77</v>
      </c>
      <c r="C45" s="102" t="s">
        <v>110</v>
      </c>
      <c r="D45" s="301" t="s">
        <v>356</v>
      </c>
      <c r="E45" s="88" t="s">
        <v>91</v>
      </c>
      <c r="F45" s="80">
        <v>43.3</v>
      </c>
    </row>
    <row r="46" spans="1:6" ht="38.25">
      <c r="A46" s="73" t="s">
        <v>83</v>
      </c>
      <c r="B46" s="81" t="s">
        <v>77</v>
      </c>
      <c r="C46" s="81" t="s">
        <v>110</v>
      </c>
      <c r="D46" s="82" t="s">
        <v>84</v>
      </c>
      <c r="E46" s="82" t="s">
        <v>80</v>
      </c>
      <c r="F46" s="83">
        <f>F47+F51+F53</f>
        <v>3584.4</v>
      </c>
    </row>
    <row r="47" spans="1:6">
      <c r="A47" s="84" t="s">
        <v>94</v>
      </c>
      <c r="B47" s="81" t="s">
        <v>77</v>
      </c>
      <c r="C47" s="81" t="s">
        <v>110</v>
      </c>
      <c r="D47" s="82" t="s">
        <v>89</v>
      </c>
      <c r="E47" s="82" t="s">
        <v>80</v>
      </c>
      <c r="F47" s="83">
        <f>F48+F49+F50</f>
        <v>2919.9</v>
      </c>
    </row>
    <row r="48" spans="1:6" ht="38.25">
      <c r="A48" s="256" t="s">
        <v>218</v>
      </c>
      <c r="B48" s="81" t="s">
        <v>77</v>
      </c>
      <c r="C48" s="102" t="s">
        <v>110</v>
      </c>
      <c r="D48" s="82" t="s">
        <v>89</v>
      </c>
      <c r="E48" s="88" t="s">
        <v>217</v>
      </c>
      <c r="F48" s="83">
        <f>'2014 ведомст'!G100</f>
        <v>1496</v>
      </c>
    </row>
    <row r="49" spans="1:6" ht="25.5" customHeight="1">
      <c r="A49" s="95" t="s">
        <v>221</v>
      </c>
      <c r="B49" s="81" t="s">
        <v>77</v>
      </c>
      <c r="C49" s="102" t="s">
        <v>110</v>
      </c>
      <c r="D49" s="82" t="s">
        <v>89</v>
      </c>
      <c r="E49" s="88" t="s">
        <v>219</v>
      </c>
      <c r="F49" s="83">
        <f>'2014 ведомст'!G101</f>
        <v>1411.9</v>
      </c>
    </row>
    <row r="50" spans="1:6">
      <c r="A50" s="95" t="s">
        <v>222</v>
      </c>
      <c r="B50" s="81" t="s">
        <v>77</v>
      </c>
      <c r="C50" s="102" t="s">
        <v>110</v>
      </c>
      <c r="D50" s="82" t="s">
        <v>89</v>
      </c>
      <c r="E50" s="88" t="s">
        <v>220</v>
      </c>
      <c r="F50" s="83">
        <f>'2014 ведомст'!G102</f>
        <v>12</v>
      </c>
    </row>
    <row r="51" spans="1:6">
      <c r="A51" s="91" t="s">
        <v>113</v>
      </c>
      <c r="B51" s="88" t="s">
        <v>77</v>
      </c>
      <c r="C51" s="88" t="s">
        <v>110</v>
      </c>
      <c r="D51" s="92" t="s">
        <v>114</v>
      </c>
      <c r="E51" s="93" t="s">
        <v>80</v>
      </c>
      <c r="F51" s="94">
        <f>F52</f>
        <v>293</v>
      </c>
    </row>
    <row r="52" spans="1:6">
      <c r="A52" s="95" t="s">
        <v>221</v>
      </c>
      <c r="B52" s="88" t="s">
        <v>77</v>
      </c>
      <c r="C52" s="88" t="s">
        <v>110</v>
      </c>
      <c r="D52" s="92" t="s">
        <v>114</v>
      </c>
      <c r="E52" s="93" t="s">
        <v>220</v>
      </c>
      <c r="F52" s="94">
        <v>293</v>
      </c>
    </row>
    <row r="53" spans="1:6">
      <c r="A53" s="84" t="s">
        <v>115</v>
      </c>
      <c r="B53" s="81" t="s">
        <v>77</v>
      </c>
      <c r="C53" s="81" t="s">
        <v>110</v>
      </c>
      <c r="D53" s="82" t="s">
        <v>116</v>
      </c>
      <c r="E53" s="82" t="s">
        <v>80</v>
      </c>
      <c r="F53" s="83">
        <f>F54+F55</f>
        <v>371.5</v>
      </c>
    </row>
    <row r="54" spans="1:6" ht="38.25">
      <c r="A54" s="256" t="s">
        <v>218</v>
      </c>
      <c r="B54" s="81" t="s">
        <v>77</v>
      </c>
      <c r="C54" s="81" t="s">
        <v>110</v>
      </c>
      <c r="D54" s="82" t="s">
        <v>116</v>
      </c>
      <c r="E54" s="88" t="s">
        <v>217</v>
      </c>
      <c r="F54" s="83">
        <v>252.5</v>
      </c>
    </row>
    <row r="55" spans="1:6">
      <c r="A55" s="95" t="s">
        <v>221</v>
      </c>
      <c r="B55" s="81" t="s">
        <v>77</v>
      </c>
      <c r="C55" s="81" t="s">
        <v>110</v>
      </c>
      <c r="D55" s="82" t="s">
        <v>116</v>
      </c>
      <c r="E55" s="88" t="s">
        <v>219</v>
      </c>
      <c r="F55" s="83">
        <v>119</v>
      </c>
    </row>
    <row r="56" spans="1:6">
      <c r="A56" s="95" t="s">
        <v>117</v>
      </c>
      <c r="B56" s="74" t="s">
        <v>77</v>
      </c>
      <c r="C56" s="81" t="s">
        <v>110</v>
      </c>
      <c r="D56" s="74" t="s">
        <v>118</v>
      </c>
      <c r="E56" s="74" t="s">
        <v>80</v>
      </c>
      <c r="F56" s="83">
        <f>F57+F58</f>
        <v>1338.2000000000003</v>
      </c>
    </row>
    <row r="57" spans="1:6" ht="38.25">
      <c r="A57" s="256" t="s">
        <v>218</v>
      </c>
      <c r="B57" s="74" t="s">
        <v>77</v>
      </c>
      <c r="C57" s="81" t="s">
        <v>110</v>
      </c>
      <c r="D57" s="74" t="s">
        <v>118</v>
      </c>
      <c r="E57" s="88" t="s">
        <v>217</v>
      </c>
      <c r="F57" s="83">
        <f>'2014 ведомст'!G255</f>
        <v>1229.8000000000002</v>
      </c>
    </row>
    <row r="58" spans="1:6">
      <c r="A58" s="95" t="s">
        <v>221</v>
      </c>
      <c r="B58" s="74" t="s">
        <v>77</v>
      </c>
      <c r="C58" s="81" t="s">
        <v>110</v>
      </c>
      <c r="D58" s="74" t="s">
        <v>118</v>
      </c>
      <c r="E58" s="88" t="s">
        <v>219</v>
      </c>
      <c r="F58" s="83">
        <f>'2014 ведомст'!G256</f>
        <v>108.4</v>
      </c>
    </row>
    <row r="59" spans="1:6" ht="34.5" customHeight="1">
      <c r="A59" s="95" t="s">
        <v>223</v>
      </c>
      <c r="B59" s="74" t="s">
        <v>77</v>
      </c>
      <c r="C59" s="81" t="s">
        <v>110</v>
      </c>
      <c r="D59" s="93" t="s">
        <v>119</v>
      </c>
      <c r="E59" s="74" t="s">
        <v>80</v>
      </c>
      <c r="F59" s="75">
        <f>F60</f>
        <v>342.6</v>
      </c>
    </row>
    <row r="60" spans="1:6">
      <c r="A60" s="95" t="s">
        <v>115</v>
      </c>
      <c r="B60" s="74" t="s">
        <v>77</v>
      </c>
      <c r="C60" s="81" t="s">
        <v>110</v>
      </c>
      <c r="D60" s="93" t="s">
        <v>189</v>
      </c>
      <c r="E60" s="93" t="s">
        <v>80</v>
      </c>
      <c r="F60" s="75">
        <f>F61</f>
        <v>342.6</v>
      </c>
    </row>
    <row r="61" spans="1:6" ht="38.25">
      <c r="A61" s="95" t="s">
        <v>218</v>
      </c>
      <c r="B61" s="74" t="s">
        <v>77</v>
      </c>
      <c r="C61" s="81" t="s">
        <v>110</v>
      </c>
      <c r="D61" s="93" t="s">
        <v>189</v>
      </c>
      <c r="E61" s="88" t="s">
        <v>217</v>
      </c>
      <c r="F61" s="75">
        <v>342.6</v>
      </c>
    </row>
    <row r="62" spans="1:6">
      <c r="A62" s="118" t="s">
        <v>95</v>
      </c>
      <c r="B62" s="82" t="s">
        <v>77</v>
      </c>
      <c r="C62" s="82" t="s">
        <v>110</v>
      </c>
      <c r="D62" s="82" t="s">
        <v>96</v>
      </c>
      <c r="E62" s="88" t="s">
        <v>80</v>
      </c>
      <c r="F62" s="83">
        <f>F63+F66+F69+F72+F75</f>
        <v>1031.6699999999998</v>
      </c>
    </row>
    <row r="63" spans="1:6" ht="25.5" customHeight="1">
      <c r="A63" s="256" t="s">
        <v>224</v>
      </c>
      <c r="B63" s="82" t="s">
        <v>77</v>
      </c>
      <c r="C63" s="82" t="s">
        <v>110</v>
      </c>
      <c r="D63" s="82" t="s">
        <v>120</v>
      </c>
      <c r="E63" s="82" t="s">
        <v>80</v>
      </c>
      <c r="F63" s="83">
        <f>F64+F65</f>
        <v>271.5</v>
      </c>
    </row>
    <row r="64" spans="1:6" ht="25.5" customHeight="1">
      <c r="A64" s="95" t="s">
        <v>218</v>
      </c>
      <c r="B64" s="82" t="s">
        <v>77</v>
      </c>
      <c r="C64" s="82" t="s">
        <v>110</v>
      </c>
      <c r="D64" s="82" t="s">
        <v>120</v>
      </c>
      <c r="E64" s="88" t="s">
        <v>217</v>
      </c>
      <c r="F64" s="83">
        <v>261.8</v>
      </c>
    </row>
    <row r="65" spans="1:6" ht="17.25" customHeight="1">
      <c r="A65" s="95" t="s">
        <v>221</v>
      </c>
      <c r="B65" s="82" t="s">
        <v>77</v>
      </c>
      <c r="C65" s="82" t="s">
        <v>110</v>
      </c>
      <c r="D65" s="82" t="s">
        <v>120</v>
      </c>
      <c r="E65" s="88" t="s">
        <v>219</v>
      </c>
      <c r="F65" s="83">
        <v>9.6999999999999993</v>
      </c>
    </row>
    <row r="66" spans="1:6" ht="25.5">
      <c r="A66" s="256" t="s">
        <v>225</v>
      </c>
      <c r="B66" s="82" t="s">
        <v>77</v>
      </c>
      <c r="C66" s="82" t="s">
        <v>110</v>
      </c>
      <c r="D66" s="82" t="s">
        <v>121</v>
      </c>
      <c r="E66" s="82" t="s">
        <v>80</v>
      </c>
      <c r="F66" s="83">
        <f>F67+F68</f>
        <v>243.89999999999998</v>
      </c>
    </row>
    <row r="67" spans="1:6" ht="38.25">
      <c r="A67" s="95" t="s">
        <v>218</v>
      </c>
      <c r="B67" s="82" t="s">
        <v>77</v>
      </c>
      <c r="C67" s="82" t="s">
        <v>110</v>
      </c>
      <c r="D67" s="82" t="s">
        <v>121</v>
      </c>
      <c r="E67" s="88" t="s">
        <v>217</v>
      </c>
      <c r="F67" s="83">
        <f>231.1+0.6</f>
        <v>231.7</v>
      </c>
    </row>
    <row r="68" spans="1:6">
      <c r="A68" s="95" t="s">
        <v>221</v>
      </c>
      <c r="B68" s="82" t="s">
        <v>77</v>
      </c>
      <c r="C68" s="82" t="s">
        <v>110</v>
      </c>
      <c r="D68" s="82" t="s">
        <v>121</v>
      </c>
      <c r="E68" s="88" t="s">
        <v>219</v>
      </c>
      <c r="F68" s="83">
        <v>12.2</v>
      </c>
    </row>
    <row r="69" spans="1:6" ht="25.5">
      <c r="A69" s="256" t="s">
        <v>226</v>
      </c>
      <c r="B69" s="82" t="s">
        <v>77</v>
      </c>
      <c r="C69" s="82" t="s">
        <v>110</v>
      </c>
      <c r="D69" s="82" t="s">
        <v>122</v>
      </c>
      <c r="E69" s="82" t="s">
        <v>80</v>
      </c>
      <c r="F69" s="83">
        <f>F70+F71</f>
        <v>474.9</v>
      </c>
    </row>
    <row r="70" spans="1:6" ht="38.25">
      <c r="A70" s="95" t="s">
        <v>218</v>
      </c>
      <c r="B70" s="82" t="s">
        <v>77</v>
      </c>
      <c r="C70" s="82" t="s">
        <v>110</v>
      </c>
      <c r="D70" s="82" t="s">
        <v>122</v>
      </c>
      <c r="E70" s="88" t="s">
        <v>217</v>
      </c>
      <c r="F70" s="83">
        <f>445.3+6.7</f>
        <v>452</v>
      </c>
    </row>
    <row r="71" spans="1:6">
      <c r="A71" s="95" t="s">
        <v>221</v>
      </c>
      <c r="B71" s="82" t="s">
        <v>77</v>
      </c>
      <c r="C71" s="82" t="s">
        <v>110</v>
      </c>
      <c r="D71" s="82" t="s">
        <v>122</v>
      </c>
      <c r="E71" s="88" t="s">
        <v>219</v>
      </c>
      <c r="F71" s="83">
        <v>22.9</v>
      </c>
    </row>
    <row r="72" spans="1:6">
      <c r="A72" s="256" t="s">
        <v>227</v>
      </c>
      <c r="B72" s="82" t="s">
        <v>77</v>
      </c>
      <c r="C72" s="82" t="s">
        <v>110</v>
      </c>
      <c r="D72" s="82" t="s">
        <v>123</v>
      </c>
      <c r="E72" s="82" t="s">
        <v>80</v>
      </c>
      <c r="F72" s="83">
        <f>F73+F74</f>
        <v>41</v>
      </c>
    </row>
    <row r="73" spans="1:6" ht="38.25">
      <c r="A73" s="95" t="s">
        <v>218</v>
      </c>
      <c r="B73" s="82" t="s">
        <v>77</v>
      </c>
      <c r="C73" s="82" t="s">
        <v>110</v>
      </c>
      <c r="D73" s="82" t="s">
        <v>123</v>
      </c>
      <c r="E73" s="88" t="s">
        <v>217</v>
      </c>
      <c r="F73" s="83">
        <v>1</v>
      </c>
    </row>
    <row r="74" spans="1:6">
      <c r="A74" s="95" t="s">
        <v>221</v>
      </c>
      <c r="B74" s="82" t="s">
        <v>77</v>
      </c>
      <c r="C74" s="82" t="s">
        <v>110</v>
      </c>
      <c r="D74" s="82" t="s">
        <v>123</v>
      </c>
      <c r="E74" s="88" t="s">
        <v>219</v>
      </c>
      <c r="F74" s="83">
        <v>40</v>
      </c>
    </row>
    <row r="75" spans="1:6" ht="38.25">
      <c r="A75" s="256" t="s">
        <v>319</v>
      </c>
      <c r="B75" s="88" t="s">
        <v>77</v>
      </c>
      <c r="C75" s="88" t="s">
        <v>110</v>
      </c>
      <c r="D75" s="88" t="s">
        <v>318</v>
      </c>
      <c r="E75" s="88" t="s">
        <v>80</v>
      </c>
      <c r="F75" s="83">
        <f>F76</f>
        <v>0.37</v>
      </c>
    </row>
    <row r="76" spans="1:6">
      <c r="A76" s="95" t="s">
        <v>221</v>
      </c>
      <c r="B76" s="88" t="s">
        <v>77</v>
      </c>
      <c r="C76" s="88" t="s">
        <v>110</v>
      </c>
      <c r="D76" s="88" t="s">
        <v>318</v>
      </c>
      <c r="E76" s="88" t="s">
        <v>219</v>
      </c>
      <c r="F76" s="83">
        <v>0.37</v>
      </c>
    </row>
    <row r="77" spans="1:6">
      <c r="A77" s="240" t="s">
        <v>124</v>
      </c>
      <c r="B77" s="238" t="s">
        <v>82</v>
      </c>
      <c r="C77" s="238" t="s">
        <v>78</v>
      </c>
      <c r="D77" s="239" t="s">
        <v>79</v>
      </c>
      <c r="E77" s="239" t="s">
        <v>80</v>
      </c>
      <c r="F77" s="242">
        <f>F78</f>
        <v>1215.5999999999999</v>
      </c>
    </row>
    <row r="78" spans="1:6">
      <c r="A78" s="84" t="s">
        <v>111</v>
      </c>
      <c r="B78" s="81" t="s">
        <v>82</v>
      </c>
      <c r="C78" s="81" t="s">
        <v>87</v>
      </c>
      <c r="D78" s="82" t="s">
        <v>112</v>
      </c>
      <c r="E78" s="82" t="s">
        <v>80</v>
      </c>
      <c r="F78" s="83">
        <f>F79</f>
        <v>1215.5999999999999</v>
      </c>
    </row>
    <row r="79" spans="1:6" ht="25.5">
      <c r="A79" s="84" t="s">
        <v>125</v>
      </c>
      <c r="B79" s="81" t="s">
        <v>82</v>
      </c>
      <c r="C79" s="81" t="s">
        <v>87</v>
      </c>
      <c r="D79" s="88" t="s">
        <v>228</v>
      </c>
      <c r="E79" s="82" t="s">
        <v>80</v>
      </c>
      <c r="F79" s="83">
        <f>F80</f>
        <v>1215.5999999999999</v>
      </c>
    </row>
    <row r="80" spans="1:6">
      <c r="A80" s="118" t="s">
        <v>95</v>
      </c>
      <c r="B80" s="81" t="s">
        <v>82</v>
      </c>
      <c r="C80" s="81" t="s">
        <v>87</v>
      </c>
      <c r="D80" s="88" t="s">
        <v>228</v>
      </c>
      <c r="E80" s="88" t="s">
        <v>91</v>
      </c>
      <c r="F80" s="83">
        <v>1215.5999999999999</v>
      </c>
    </row>
    <row r="81" spans="1:6">
      <c r="A81" s="248" t="s">
        <v>126</v>
      </c>
      <c r="B81" s="243" t="s">
        <v>87</v>
      </c>
      <c r="C81" s="238" t="s">
        <v>78</v>
      </c>
      <c r="D81" s="243" t="s">
        <v>79</v>
      </c>
      <c r="E81" s="243" t="s">
        <v>80</v>
      </c>
      <c r="F81" s="242">
        <f>F82</f>
        <v>730.5</v>
      </c>
    </row>
    <row r="82" spans="1:6" ht="25.5">
      <c r="A82" s="73" t="s">
        <v>127</v>
      </c>
      <c r="B82" s="93" t="s">
        <v>87</v>
      </c>
      <c r="C82" s="102" t="s">
        <v>128</v>
      </c>
      <c r="D82" s="93" t="s">
        <v>79</v>
      </c>
      <c r="E82" s="93" t="s">
        <v>80</v>
      </c>
      <c r="F82" s="83">
        <f>F83</f>
        <v>730.5</v>
      </c>
    </row>
    <row r="83" spans="1:6">
      <c r="A83" s="73" t="s">
        <v>129</v>
      </c>
      <c r="B83" s="93" t="s">
        <v>87</v>
      </c>
      <c r="C83" s="102" t="s">
        <v>128</v>
      </c>
      <c r="D83" s="93" t="s">
        <v>130</v>
      </c>
      <c r="E83" s="93" t="s">
        <v>80</v>
      </c>
      <c r="F83" s="83">
        <f>F84</f>
        <v>730.5</v>
      </c>
    </row>
    <row r="84" spans="1:6" ht="38.25" customHeight="1">
      <c r="A84" s="73" t="s">
        <v>131</v>
      </c>
      <c r="B84" s="93" t="s">
        <v>87</v>
      </c>
      <c r="C84" s="102" t="s">
        <v>128</v>
      </c>
      <c r="D84" s="93" t="s">
        <v>132</v>
      </c>
      <c r="E84" s="93" t="s">
        <v>80</v>
      </c>
      <c r="F84" s="83">
        <f>F85</f>
        <v>730.5</v>
      </c>
    </row>
    <row r="85" spans="1:6" ht="38.25">
      <c r="A85" s="95" t="s">
        <v>218</v>
      </c>
      <c r="B85" s="93" t="s">
        <v>87</v>
      </c>
      <c r="C85" s="102" t="s">
        <v>128</v>
      </c>
      <c r="D85" s="93" t="s">
        <v>132</v>
      </c>
      <c r="E85" s="93" t="s">
        <v>217</v>
      </c>
      <c r="F85" s="83">
        <v>730.5</v>
      </c>
    </row>
    <row r="86" spans="1:6">
      <c r="A86" s="240" t="s">
        <v>321</v>
      </c>
      <c r="B86" s="238" t="s">
        <v>93</v>
      </c>
      <c r="C86" s="238" t="s">
        <v>78</v>
      </c>
      <c r="D86" s="239" t="s">
        <v>79</v>
      </c>
      <c r="E86" s="239" t="s">
        <v>80</v>
      </c>
      <c r="F86" s="242">
        <f>F87+F91</f>
        <v>14592</v>
      </c>
    </row>
    <row r="87" spans="1:6">
      <c r="A87" s="84" t="s">
        <v>322</v>
      </c>
      <c r="B87" s="81" t="s">
        <v>93</v>
      </c>
      <c r="C87" s="81" t="s">
        <v>323</v>
      </c>
      <c r="D87" s="82" t="s">
        <v>79</v>
      </c>
      <c r="E87" s="82" t="s">
        <v>80</v>
      </c>
      <c r="F87" s="83">
        <f>F88</f>
        <v>692</v>
      </c>
    </row>
    <row r="88" spans="1:6">
      <c r="A88" s="84" t="s">
        <v>95</v>
      </c>
      <c r="B88" s="81" t="s">
        <v>93</v>
      </c>
      <c r="C88" s="81" t="s">
        <v>323</v>
      </c>
      <c r="D88" s="82" t="s">
        <v>96</v>
      </c>
      <c r="E88" s="82" t="s">
        <v>80</v>
      </c>
      <c r="F88" s="83">
        <f>F89</f>
        <v>692</v>
      </c>
    </row>
    <row r="89" spans="1:6" ht="38.25">
      <c r="A89" s="84" t="s">
        <v>324</v>
      </c>
      <c r="B89" s="81" t="s">
        <v>93</v>
      </c>
      <c r="C89" s="81" t="s">
        <v>323</v>
      </c>
      <c r="D89" s="82" t="s">
        <v>325</v>
      </c>
      <c r="E89" s="82" t="s">
        <v>80</v>
      </c>
      <c r="F89" s="83">
        <f>F90</f>
        <v>692</v>
      </c>
    </row>
    <row r="90" spans="1:6">
      <c r="A90" s="118" t="s">
        <v>221</v>
      </c>
      <c r="B90" s="81" t="s">
        <v>133</v>
      </c>
      <c r="C90" s="81" t="s">
        <v>326</v>
      </c>
      <c r="D90" s="82" t="s">
        <v>325</v>
      </c>
      <c r="E90" s="88" t="s">
        <v>219</v>
      </c>
      <c r="F90" s="83">
        <f>108.2+583.8</f>
        <v>692</v>
      </c>
    </row>
    <row r="91" spans="1:6">
      <c r="A91" s="294" t="s">
        <v>329</v>
      </c>
      <c r="B91" s="286" t="s">
        <v>93</v>
      </c>
      <c r="C91" s="286" t="s">
        <v>128</v>
      </c>
      <c r="D91" s="287" t="s">
        <v>79</v>
      </c>
      <c r="E91" s="287" t="s">
        <v>80</v>
      </c>
      <c r="F91" s="288">
        <f>F92</f>
        <v>13900</v>
      </c>
    </row>
    <row r="92" spans="1:6">
      <c r="A92" s="118" t="s">
        <v>331</v>
      </c>
      <c r="B92" s="102" t="s">
        <v>93</v>
      </c>
      <c r="C92" s="102" t="s">
        <v>128</v>
      </c>
      <c r="D92" s="88" t="s">
        <v>330</v>
      </c>
      <c r="E92" s="88" t="s">
        <v>80</v>
      </c>
      <c r="F92" s="83">
        <f>F93</f>
        <v>13900</v>
      </c>
    </row>
    <row r="93" spans="1:6">
      <c r="A93" s="118" t="s">
        <v>333</v>
      </c>
      <c r="B93" s="102" t="s">
        <v>93</v>
      </c>
      <c r="C93" s="102" t="s">
        <v>128</v>
      </c>
      <c r="D93" s="88" t="s">
        <v>332</v>
      </c>
      <c r="E93" s="88" t="s">
        <v>80</v>
      </c>
      <c r="F93" s="83">
        <f>F94</f>
        <v>13900</v>
      </c>
    </row>
    <row r="94" spans="1:6">
      <c r="A94" s="95" t="s">
        <v>221</v>
      </c>
      <c r="B94" s="102" t="s">
        <v>93</v>
      </c>
      <c r="C94" s="102" t="s">
        <v>128</v>
      </c>
      <c r="D94" s="88" t="s">
        <v>332</v>
      </c>
      <c r="E94" s="88" t="s">
        <v>219</v>
      </c>
      <c r="F94" s="83">
        <v>13900</v>
      </c>
    </row>
    <row r="95" spans="1:6">
      <c r="A95" s="249" t="s">
        <v>135</v>
      </c>
      <c r="B95" s="265" t="s">
        <v>102</v>
      </c>
      <c r="C95" s="265" t="s">
        <v>78</v>
      </c>
      <c r="D95" s="266" t="s">
        <v>79</v>
      </c>
      <c r="E95" s="267" t="s">
        <v>80</v>
      </c>
      <c r="F95" s="268">
        <f>F96</f>
        <v>3586</v>
      </c>
    </row>
    <row r="96" spans="1:6">
      <c r="A96" s="70" t="s">
        <v>136</v>
      </c>
      <c r="B96" s="278" t="s">
        <v>102</v>
      </c>
      <c r="C96" s="278" t="s">
        <v>87</v>
      </c>
      <c r="D96" s="279" t="s">
        <v>79</v>
      </c>
      <c r="E96" s="280" t="s">
        <v>80</v>
      </c>
      <c r="F96" s="269">
        <f>F97</f>
        <v>3586</v>
      </c>
    </row>
    <row r="97" spans="1:6" ht="25.5">
      <c r="A97" s="270" t="s">
        <v>137</v>
      </c>
      <c r="B97" s="271" t="s">
        <v>102</v>
      </c>
      <c r="C97" s="271" t="s">
        <v>87</v>
      </c>
      <c r="D97" s="272" t="s">
        <v>138</v>
      </c>
      <c r="E97" s="273" t="s">
        <v>80</v>
      </c>
      <c r="F97" s="274">
        <f>F98</f>
        <v>3586</v>
      </c>
    </row>
    <row r="98" spans="1:6">
      <c r="A98" s="270" t="s">
        <v>139</v>
      </c>
      <c r="B98" s="271" t="s">
        <v>102</v>
      </c>
      <c r="C98" s="271" t="s">
        <v>87</v>
      </c>
      <c r="D98" s="272" t="s">
        <v>140</v>
      </c>
      <c r="E98" s="273" t="s">
        <v>80</v>
      </c>
      <c r="F98" s="274">
        <f>F99</f>
        <v>3586</v>
      </c>
    </row>
    <row r="99" spans="1:6">
      <c r="A99" s="270" t="s">
        <v>141</v>
      </c>
      <c r="B99" s="271" t="s">
        <v>102</v>
      </c>
      <c r="C99" s="271" t="s">
        <v>87</v>
      </c>
      <c r="D99" s="272" t="s">
        <v>142</v>
      </c>
      <c r="E99" s="273" t="s">
        <v>80</v>
      </c>
      <c r="F99" s="274">
        <f>F100</f>
        <v>3586</v>
      </c>
    </row>
    <row r="100" spans="1:6" ht="15.75" customHeight="1">
      <c r="A100" s="95" t="s">
        <v>221</v>
      </c>
      <c r="B100" s="271" t="s">
        <v>102</v>
      </c>
      <c r="C100" s="271" t="s">
        <v>87</v>
      </c>
      <c r="D100" s="272" t="s">
        <v>142</v>
      </c>
      <c r="E100" s="273" t="s">
        <v>219</v>
      </c>
      <c r="F100" s="274">
        <v>3586</v>
      </c>
    </row>
    <row r="101" spans="1:6">
      <c r="A101" s="275" t="s">
        <v>143</v>
      </c>
      <c r="B101" s="265" t="s">
        <v>144</v>
      </c>
      <c r="C101" s="265" t="s">
        <v>78</v>
      </c>
      <c r="D101" s="267" t="s">
        <v>79</v>
      </c>
      <c r="E101" s="267" t="s">
        <v>80</v>
      </c>
      <c r="F101" s="268">
        <f>F102+F112+F137+F143</f>
        <v>342901.9</v>
      </c>
    </row>
    <row r="102" spans="1:6">
      <c r="A102" s="276" t="s">
        <v>145</v>
      </c>
      <c r="B102" s="277" t="s">
        <v>144</v>
      </c>
      <c r="C102" s="277" t="s">
        <v>77</v>
      </c>
      <c r="D102" s="277" t="s">
        <v>146</v>
      </c>
      <c r="E102" s="277" t="s">
        <v>80</v>
      </c>
      <c r="F102" s="269">
        <f>F103+F108</f>
        <v>48429.4</v>
      </c>
    </row>
    <row r="103" spans="1:6">
      <c r="A103" s="276" t="s">
        <v>147</v>
      </c>
      <c r="B103" s="277" t="s">
        <v>144</v>
      </c>
      <c r="C103" s="277" t="s">
        <v>77</v>
      </c>
      <c r="D103" s="277" t="s">
        <v>148</v>
      </c>
      <c r="E103" s="277" t="s">
        <v>80</v>
      </c>
      <c r="F103" s="269">
        <f>F104+F106</f>
        <v>29344.9</v>
      </c>
    </row>
    <row r="104" spans="1:6">
      <c r="A104" s="77" t="s">
        <v>233</v>
      </c>
      <c r="B104" s="273" t="s">
        <v>144</v>
      </c>
      <c r="C104" s="273" t="s">
        <v>77</v>
      </c>
      <c r="D104" s="273" t="s">
        <v>149</v>
      </c>
      <c r="E104" s="273" t="s">
        <v>80</v>
      </c>
      <c r="F104" s="274">
        <f>F105</f>
        <v>3428.9</v>
      </c>
    </row>
    <row r="105" spans="1:6">
      <c r="A105" s="95" t="s">
        <v>241</v>
      </c>
      <c r="B105" s="273" t="s">
        <v>144</v>
      </c>
      <c r="C105" s="273" t="s">
        <v>77</v>
      </c>
      <c r="D105" s="273" t="s">
        <v>149</v>
      </c>
      <c r="E105" s="273" t="s">
        <v>240</v>
      </c>
      <c r="F105" s="274">
        <v>3428.9</v>
      </c>
    </row>
    <row r="106" spans="1:6" ht="25.5">
      <c r="A106" s="256" t="s">
        <v>235</v>
      </c>
      <c r="B106" s="273" t="s">
        <v>144</v>
      </c>
      <c r="C106" s="273" t="s">
        <v>77</v>
      </c>
      <c r="D106" s="273" t="s">
        <v>234</v>
      </c>
      <c r="E106" s="273" t="s">
        <v>80</v>
      </c>
      <c r="F106" s="274">
        <f>F107</f>
        <v>25916</v>
      </c>
    </row>
    <row r="107" spans="1:6" ht="38.25">
      <c r="A107" s="95" t="s">
        <v>218</v>
      </c>
      <c r="B107" s="273" t="s">
        <v>144</v>
      </c>
      <c r="C107" s="273" t="s">
        <v>77</v>
      </c>
      <c r="D107" s="273" t="s">
        <v>234</v>
      </c>
      <c r="E107" s="273" t="s">
        <v>240</v>
      </c>
      <c r="F107" s="274">
        <v>25916</v>
      </c>
    </row>
    <row r="108" spans="1:6">
      <c r="A108" s="77" t="s">
        <v>95</v>
      </c>
      <c r="B108" s="273" t="s">
        <v>144</v>
      </c>
      <c r="C108" s="273" t="s">
        <v>77</v>
      </c>
      <c r="D108" s="273" t="s">
        <v>96</v>
      </c>
      <c r="E108" s="273" t="s">
        <v>80</v>
      </c>
      <c r="F108" s="274">
        <f>F109</f>
        <v>19084.5</v>
      </c>
    </row>
    <row r="109" spans="1:6" ht="38.25">
      <c r="A109" s="256" t="s">
        <v>232</v>
      </c>
      <c r="B109" s="273" t="s">
        <v>144</v>
      </c>
      <c r="C109" s="273" t="s">
        <v>77</v>
      </c>
      <c r="D109" s="273" t="s">
        <v>231</v>
      </c>
      <c r="E109" s="273" t="s">
        <v>80</v>
      </c>
      <c r="F109" s="274">
        <f>F110</f>
        <v>19084.5</v>
      </c>
    </row>
    <row r="110" spans="1:6" ht="51">
      <c r="A110" s="95" t="s">
        <v>229</v>
      </c>
      <c r="B110" s="82" t="s">
        <v>144</v>
      </c>
      <c r="C110" s="82" t="s">
        <v>77</v>
      </c>
      <c r="D110" s="88" t="s">
        <v>230</v>
      </c>
      <c r="E110" s="88" t="s">
        <v>80</v>
      </c>
      <c r="F110" s="83">
        <f>F111</f>
        <v>19084.5</v>
      </c>
    </row>
    <row r="111" spans="1:6">
      <c r="A111" s="95" t="s">
        <v>241</v>
      </c>
      <c r="B111" s="82" t="s">
        <v>144</v>
      </c>
      <c r="C111" s="82" t="s">
        <v>77</v>
      </c>
      <c r="D111" s="88" t="s">
        <v>230</v>
      </c>
      <c r="E111" s="88" t="s">
        <v>240</v>
      </c>
      <c r="F111" s="83">
        <f>'2014 ведомст'!G131</f>
        <v>19084.5</v>
      </c>
    </row>
    <row r="112" spans="1:6">
      <c r="A112" s="89" t="s">
        <v>150</v>
      </c>
      <c r="B112" s="79" t="s">
        <v>144</v>
      </c>
      <c r="C112" s="79" t="s">
        <v>82</v>
      </c>
      <c r="D112" s="79" t="s">
        <v>79</v>
      </c>
      <c r="E112" s="79" t="s">
        <v>80</v>
      </c>
      <c r="F112" s="80">
        <f>F113+F118+F123+F134</f>
        <v>278091.59999999998</v>
      </c>
    </row>
    <row r="113" spans="1:6">
      <c r="A113" s="89" t="s">
        <v>151</v>
      </c>
      <c r="B113" s="79" t="s">
        <v>144</v>
      </c>
      <c r="C113" s="79" t="s">
        <v>82</v>
      </c>
      <c r="D113" s="79" t="s">
        <v>152</v>
      </c>
      <c r="E113" s="79" t="s">
        <v>80</v>
      </c>
      <c r="F113" s="80">
        <f>F114+F116</f>
        <v>120388.2</v>
      </c>
    </row>
    <row r="114" spans="1:6">
      <c r="A114" s="84" t="s">
        <v>115</v>
      </c>
      <c r="B114" s="82" t="s">
        <v>144</v>
      </c>
      <c r="C114" s="82" t="s">
        <v>82</v>
      </c>
      <c r="D114" s="82" t="s">
        <v>153</v>
      </c>
      <c r="E114" s="82" t="s">
        <v>80</v>
      </c>
      <c r="F114" s="83">
        <f>F115</f>
        <v>28239.300000000003</v>
      </c>
    </row>
    <row r="115" spans="1:6">
      <c r="A115" s="95" t="s">
        <v>241</v>
      </c>
      <c r="B115" s="82" t="s">
        <v>144</v>
      </c>
      <c r="C115" s="82" t="s">
        <v>82</v>
      </c>
      <c r="D115" s="82" t="s">
        <v>153</v>
      </c>
      <c r="E115" s="88" t="s">
        <v>240</v>
      </c>
      <c r="F115" s="83">
        <f>'2014 ведомст'!G135</f>
        <v>28239.300000000003</v>
      </c>
    </row>
    <row r="116" spans="1:6" ht="25.5">
      <c r="A116" s="256" t="s">
        <v>235</v>
      </c>
      <c r="B116" s="82" t="s">
        <v>144</v>
      </c>
      <c r="C116" s="82" t="s">
        <v>82</v>
      </c>
      <c r="D116" s="88" t="s">
        <v>236</v>
      </c>
      <c r="E116" s="88" t="s">
        <v>80</v>
      </c>
      <c r="F116" s="83">
        <f>F117</f>
        <v>92148.9</v>
      </c>
    </row>
    <row r="117" spans="1:6">
      <c r="A117" s="95" t="s">
        <v>241</v>
      </c>
      <c r="B117" s="82" t="s">
        <v>144</v>
      </c>
      <c r="C117" s="82" t="s">
        <v>82</v>
      </c>
      <c r="D117" s="88" t="s">
        <v>236</v>
      </c>
      <c r="E117" s="88" t="s">
        <v>240</v>
      </c>
      <c r="F117" s="83">
        <v>92148.9</v>
      </c>
    </row>
    <row r="118" spans="1:6">
      <c r="A118" s="70" t="s">
        <v>154</v>
      </c>
      <c r="B118" s="79" t="s">
        <v>144</v>
      </c>
      <c r="C118" s="79" t="s">
        <v>82</v>
      </c>
      <c r="D118" s="79" t="s">
        <v>155</v>
      </c>
      <c r="E118" s="79" t="s">
        <v>80</v>
      </c>
      <c r="F118" s="80">
        <f>F119+F121</f>
        <v>16751.599999999999</v>
      </c>
    </row>
    <row r="119" spans="1:6">
      <c r="A119" s="73" t="s">
        <v>115</v>
      </c>
      <c r="B119" s="82" t="s">
        <v>144</v>
      </c>
      <c r="C119" s="82" t="s">
        <v>82</v>
      </c>
      <c r="D119" s="82" t="s">
        <v>156</v>
      </c>
      <c r="E119" s="82" t="s">
        <v>80</v>
      </c>
      <c r="F119" s="83">
        <f>F120</f>
        <v>4193.5</v>
      </c>
    </row>
    <row r="120" spans="1:6">
      <c r="A120" s="95" t="s">
        <v>241</v>
      </c>
      <c r="B120" s="82" t="s">
        <v>144</v>
      </c>
      <c r="C120" s="82" t="s">
        <v>82</v>
      </c>
      <c r="D120" s="82" t="s">
        <v>156</v>
      </c>
      <c r="E120" s="88" t="s">
        <v>240</v>
      </c>
      <c r="F120" s="83">
        <f>'2014 ведомст'!G140</f>
        <v>4193.5</v>
      </c>
    </row>
    <row r="121" spans="1:6" ht="25.5">
      <c r="A121" s="256" t="s">
        <v>235</v>
      </c>
      <c r="B121" s="82" t="s">
        <v>144</v>
      </c>
      <c r="C121" s="82" t="s">
        <v>82</v>
      </c>
      <c r="D121" s="88" t="s">
        <v>237</v>
      </c>
      <c r="E121" s="82" t="s">
        <v>80</v>
      </c>
      <c r="F121" s="83">
        <f>F122</f>
        <v>12558.1</v>
      </c>
    </row>
    <row r="122" spans="1:6">
      <c r="A122" s="95" t="s">
        <v>241</v>
      </c>
      <c r="B122" s="82" t="s">
        <v>144</v>
      </c>
      <c r="C122" s="82" t="s">
        <v>82</v>
      </c>
      <c r="D122" s="88" t="s">
        <v>237</v>
      </c>
      <c r="E122" s="88" t="s">
        <v>240</v>
      </c>
      <c r="F122" s="83">
        <v>12558.1</v>
      </c>
    </row>
    <row r="123" spans="1:6">
      <c r="A123" s="89" t="s">
        <v>157</v>
      </c>
      <c r="B123" s="79" t="s">
        <v>144</v>
      </c>
      <c r="C123" s="79" t="s">
        <v>82</v>
      </c>
      <c r="D123" s="79" t="s">
        <v>158</v>
      </c>
      <c r="E123" s="79" t="s">
        <v>80</v>
      </c>
      <c r="F123" s="80">
        <f>F124</f>
        <v>15790.7</v>
      </c>
    </row>
    <row r="124" spans="1:6" ht="16.5" customHeight="1">
      <c r="A124" s="84" t="s">
        <v>157</v>
      </c>
      <c r="B124" s="82" t="s">
        <v>144</v>
      </c>
      <c r="C124" s="82" t="s">
        <v>82</v>
      </c>
      <c r="D124" s="82" t="s">
        <v>158</v>
      </c>
      <c r="E124" s="82" t="s">
        <v>80</v>
      </c>
      <c r="F124" s="83">
        <f>F125+F132</f>
        <v>15790.7</v>
      </c>
    </row>
    <row r="125" spans="1:6">
      <c r="A125" s="84" t="s">
        <v>115</v>
      </c>
      <c r="B125" s="82" t="s">
        <v>144</v>
      </c>
      <c r="C125" s="82" t="s">
        <v>82</v>
      </c>
      <c r="D125" s="82" t="s">
        <v>159</v>
      </c>
      <c r="E125" s="82" t="s">
        <v>80</v>
      </c>
      <c r="F125" s="83">
        <f>F126+F128+F130</f>
        <v>0</v>
      </c>
    </row>
    <row r="126" spans="1:6" ht="63.75">
      <c r="A126" s="105" t="s">
        <v>160</v>
      </c>
      <c r="B126" s="82" t="s">
        <v>144</v>
      </c>
      <c r="C126" s="82" t="s">
        <v>82</v>
      </c>
      <c r="D126" s="82" t="s">
        <v>161</v>
      </c>
      <c r="E126" s="82" t="s">
        <v>80</v>
      </c>
      <c r="F126" s="83">
        <f>F127</f>
        <v>0</v>
      </c>
    </row>
    <row r="127" spans="1:6">
      <c r="A127" s="73" t="s">
        <v>241</v>
      </c>
      <c r="B127" s="82" t="s">
        <v>144</v>
      </c>
      <c r="C127" s="82" t="s">
        <v>82</v>
      </c>
      <c r="D127" s="82" t="s">
        <v>161</v>
      </c>
      <c r="E127" s="88" t="s">
        <v>240</v>
      </c>
      <c r="F127" s="83"/>
    </row>
    <row r="128" spans="1:6" ht="25.5">
      <c r="A128" s="84" t="s">
        <v>162</v>
      </c>
      <c r="B128" s="82" t="s">
        <v>144</v>
      </c>
      <c r="C128" s="82" t="s">
        <v>82</v>
      </c>
      <c r="D128" s="82" t="s">
        <v>163</v>
      </c>
      <c r="E128" s="82" t="s">
        <v>80</v>
      </c>
      <c r="F128" s="83">
        <f>F129</f>
        <v>0</v>
      </c>
    </row>
    <row r="129" spans="1:6" ht="18" customHeight="1">
      <c r="A129" s="73" t="s">
        <v>241</v>
      </c>
      <c r="B129" s="82" t="s">
        <v>144</v>
      </c>
      <c r="C129" s="82" t="s">
        <v>82</v>
      </c>
      <c r="D129" s="82" t="s">
        <v>163</v>
      </c>
      <c r="E129" s="88" t="s">
        <v>240</v>
      </c>
      <c r="F129" s="83"/>
    </row>
    <row r="130" spans="1:6" ht="0.75" hidden="1" customHeight="1">
      <c r="A130" s="84" t="s">
        <v>164</v>
      </c>
      <c r="B130" s="82" t="s">
        <v>144</v>
      </c>
      <c r="C130" s="82" t="s">
        <v>82</v>
      </c>
      <c r="D130" s="82" t="s">
        <v>165</v>
      </c>
      <c r="E130" s="82" t="s">
        <v>80</v>
      </c>
      <c r="F130" s="83">
        <f>F131</f>
        <v>0</v>
      </c>
    </row>
    <row r="131" spans="1:6" ht="0.75" hidden="1" customHeight="1">
      <c r="A131" s="73" t="s">
        <v>241</v>
      </c>
      <c r="B131" s="82" t="s">
        <v>144</v>
      </c>
      <c r="C131" s="82" t="s">
        <v>82</v>
      </c>
      <c r="D131" s="82" t="s">
        <v>165</v>
      </c>
      <c r="E131" s="88" t="s">
        <v>240</v>
      </c>
      <c r="F131" s="83">
        <f>'2014 ведомст'!G229</f>
        <v>0</v>
      </c>
    </row>
    <row r="132" spans="1:6" ht="25.5">
      <c r="A132" s="256" t="s">
        <v>235</v>
      </c>
      <c r="B132" s="82" t="s">
        <v>144</v>
      </c>
      <c r="C132" s="82" t="s">
        <v>82</v>
      </c>
      <c r="D132" s="88" t="s">
        <v>238</v>
      </c>
      <c r="E132" s="88" t="s">
        <v>80</v>
      </c>
      <c r="F132" s="83">
        <f>F133</f>
        <v>15790.7</v>
      </c>
    </row>
    <row r="133" spans="1:6">
      <c r="A133" s="95" t="s">
        <v>241</v>
      </c>
      <c r="B133" s="82" t="s">
        <v>144</v>
      </c>
      <c r="C133" s="82" t="s">
        <v>82</v>
      </c>
      <c r="D133" s="88" t="s">
        <v>238</v>
      </c>
      <c r="E133" s="88" t="s">
        <v>240</v>
      </c>
      <c r="F133" s="83">
        <f>2307+9453.7+4030</f>
        <v>15790.7</v>
      </c>
    </row>
    <row r="134" spans="1:6">
      <c r="A134" s="86" t="s">
        <v>95</v>
      </c>
      <c r="B134" s="79" t="s">
        <v>144</v>
      </c>
      <c r="C134" s="79" t="s">
        <v>82</v>
      </c>
      <c r="D134" s="79" t="s">
        <v>96</v>
      </c>
      <c r="E134" s="79" t="s">
        <v>80</v>
      </c>
      <c r="F134" s="87">
        <f>F135</f>
        <v>125161.1</v>
      </c>
    </row>
    <row r="135" spans="1:6" ht="25.5">
      <c r="A135" s="73" t="s">
        <v>166</v>
      </c>
      <c r="B135" s="82" t="s">
        <v>144</v>
      </c>
      <c r="C135" s="82" t="s">
        <v>82</v>
      </c>
      <c r="D135" s="82" t="s">
        <v>167</v>
      </c>
      <c r="E135" s="82" t="s">
        <v>80</v>
      </c>
      <c r="F135" s="83">
        <f>F136</f>
        <v>125161.1</v>
      </c>
    </row>
    <row r="136" spans="1:6">
      <c r="A136" s="95" t="s">
        <v>241</v>
      </c>
      <c r="B136" s="82" t="s">
        <v>144</v>
      </c>
      <c r="C136" s="82" t="s">
        <v>82</v>
      </c>
      <c r="D136" s="82" t="s">
        <v>167</v>
      </c>
      <c r="E136" s="88" t="s">
        <v>240</v>
      </c>
      <c r="F136" s="83">
        <f>'2014 ведомст'!G152</f>
        <v>125161.1</v>
      </c>
    </row>
    <row r="137" spans="1:6">
      <c r="A137" s="86" t="s">
        <v>168</v>
      </c>
      <c r="B137" s="79" t="s">
        <v>144</v>
      </c>
      <c r="C137" s="79" t="s">
        <v>144</v>
      </c>
      <c r="D137" s="79" t="s">
        <v>79</v>
      </c>
      <c r="E137" s="79" t="s">
        <v>80</v>
      </c>
      <c r="F137" s="80">
        <f>F138</f>
        <v>4984</v>
      </c>
    </row>
    <row r="138" spans="1:6">
      <c r="A138" s="84" t="s">
        <v>169</v>
      </c>
      <c r="B138" s="82" t="s">
        <v>144</v>
      </c>
      <c r="C138" s="82" t="s">
        <v>144</v>
      </c>
      <c r="D138" s="82" t="s">
        <v>170</v>
      </c>
      <c r="E138" s="82" t="s">
        <v>80</v>
      </c>
      <c r="F138" s="83">
        <f>F139+F141</f>
        <v>4984</v>
      </c>
    </row>
    <row r="139" spans="1:6">
      <c r="A139" s="84" t="s">
        <v>115</v>
      </c>
      <c r="B139" s="82" t="s">
        <v>144</v>
      </c>
      <c r="C139" s="82" t="s">
        <v>144</v>
      </c>
      <c r="D139" s="82" t="s">
        <v>171</v>
      </c>
      <c r="E139" s="82" t="s">
        <v>80</v>
      </c>
      <c r="F139" s="83">
        <f>F140</f>
        <v>3731</v>
      </c>
    </row>
    <row r="140" spans="1:6">
      <c r="A140" s="95" t="s">
        <v>241</v>
      </c>
      <c r="B140" s="82" t="s">
        <v>144</v>
      </c>
      <c r="C140" s="82" t="s">
        <v>144</v>
      </c>
      <c r="D140" s="82" t="s">
        <v>171</v>
      </c>
      <c r="E140" s="88" t="s">
        <v>240</v>
      </c>
      <c r="F140" s="83">
        <f>'2014 ведомст'!G235</f>
        <v>3731</v>
      </c>
    </row>
    <row r="141" spans="1:6" ht="25.5">
      <c r="A141" s="256" t="s">
        <v>235</v>
      </c>
      <c r="B141" s="82" t="s">
        <v>144</v>
      </c>
      <c r="C141" s="82" t="s">
        <v>144</v>
      </c>
      <c r="D141" s="88" t="s">
        <v>239</v>
      </c>
      <c r="E141" s="88" t="s">
        <v>80</v>
      </c>
      <c r="F141" s="83">
        <f>F142</f>
        <v>1253</v>
      </c>
    </row>
    <row r="142" spans="1:6">
      <c r="A142" s="95" t="s">
        <v>241</v>
      </c>
      <c r="B142" s="82" t="s">
        <v>144</v>
      </c>
      <c r="C142" s="82" t="s">
        <v>144</v>
      </c>
      <c r="D142" s="88" t="s">
        <v>239</v>
      </c>
      <c r="E142" s="88" t="s">
        <v>240</v>
      </c>
      <c r="F142" s="83">
        <v>1253</v>
      </c>
    </row>
    <row r="143" spans="1:6">
      <c r="A143" s="89" t="s">
        <v>172</v>
      </c>
      <c r="B143" s="79" t="s">
        <v>144</v>
      </c>
      <c r="C143" s="79" t="s">
        <v>128</v>
      </c>
      <c r="D143" s="79" t="s">
        <v>79</v>
      </c>
      <c r="E143" s="79" t="s">
        <v>80</v>
      </c>
      <c r="F143" s="80">
        <f>F144+F149+F152+F156</f>
        <v>11396.9</v>
      </c>
    </row>
    <row r="144" spans="1:6" ht="25.5">
      <c r="A144" s="70" t="s">
        <v>173</v>
      </c>
      <c r="B144" s="79" t="s">
        <v>144</v>
      </c>
      <c r="C144" s="79" t="s">
        <v>128</v>
      </c>
      <c r="D144" s="79" t="s">
        <v>174</v>
      </c>
      <c r="E144" s="79" t="s">
        <v>80</v>
      </c>
      <c r="F144" s="80">
        <f>F145</f>
        <v>2052</v>
      </c>
    </row>
    <row r="145" spans="1:6">
      <c r="A145" s="84" t="s">
        <v>115</v>
      </c>
      <c r="B145" s="82" t="s">
        <v>144</v>
      </c>
      <c r="C145" s="82" t="s">
        <v>128</v>
      </c>
      <c r="D145" s="82" t="s">
        <v>175</v>
      </c>
      <c r="E145" s="82" t="s">
        <v>80</v>
      </c>
      <c r="F145" s="83">
        <f>F146+F147+F148</f>
        <v>2052</v>
      </c>
    </row>
    <row r="146" spans="1:6" ht="38.25">
      <c r="A146" s="95" t="s">
        <v>218</v>
      </c>
      <c r="B146" s="82" t="s">
        <v>144</v>
      </c>
      <c r="C146" s="82" t="s">
        <v>128</v>
      </c>
      <c r="D146" s="82" t="s">
        <v>175</v>
      </c>
      <c r="E146" s="88" t="s">
        <v>217</v>
      </c>
      <c r="F146" s="83">
        <f>'2014 ведомст'!G156</f>
        <v>355.5</v>
      </c>
    </row>
    <row r="147" spans="1:6">
      <c r="A147" s="95" t="s">
        <v>221</v>
      </c>
      <c r="B147" s="82" t="s">
        <v>144</v>
      </c>
      <c r="C147" s="82" t="s">
        <v>128</v>
      </c>
      <c r="D147" s="82" t="s">
        <v>175</v>
      </c>
      <c r="E147" s="88" t="s">
        <v>219</v>
      </c>
      <c r="F147" s="83">
        <f>'2014 ведомст'!G157</f>
        <v>1618.5</v>
      </c>
    </row>
    <row r="148" spans="1:6">
      <c r="A148" s="95" t="s">
        <v>222</v>
      </c>
      <c r="B148" s="82" t="s">
        <v>144</v>
      </c>
      <c r="C148" s="82" t="s">
        <v>128</v>
      </c>
      <c r="D148" s="82" t="s">
        <v>175</v>
      </c>
      <c r="E148" s="88" t="s">
        <v>220</v>
      </c>
      <c r="F148" s="83">
        <f>'2014 ведомст'!G158</f>
        <v>78</v>
      </c>
    </row>
    <row r="149" spans="1:6">
      <c r="A149" s="89" t="s">
        <v>176</v>
      </c>
      <c r="B149" s="79" t="s">
        <v>144</v>
      </c>
      <c r="C149" s="79" t="s">
        <v>128</v>
      </c>
      <c r="D149" s="79" t="s">
        <v>177</v>
      </c>
      <c r="E149" s="79" t="s">
        <v>80</v>
      </c>
      <c r="F149" s="80">
        <f>'2014 ведомст'!G159</f>
        <v>1423.2</v>
      </c>
    </row>
    <row r="150" spans="1:6">
      <c r="A150" s="84" t="s">
        <v>178</v>
      </c>
      <c r="B150" s="82" t="s">
        <v>144</v>
      </c>
      <c r="C150" s="82" t="s">
        <v>128</v>
      </c>
      <c r="D150" s="82" t="s">
        <v>179</v>
      </c>
      <c r="E150" s="82" t="s">
        <v>80</v>
      </c>
      <c r="F150" s="83">
        <f>'2014 ведомст'!G160</f>
        <v>1423.2</v>
      </c>
    </row>
    <row r="151" spans="1:6">
      <c r="A151" s="95" t="s">
        <v>221</v>
      </c>
      <c r="B151" s="82" t="s">
        <v>144</v>
      </c>
      <c r="C151" s="82" t="s">
        <v>128</v>
      </c>
      <c r="D151" s="82" t="s">
        <v>179</v>
      </c>
      <c r="E151" s="88" t="s">
        <v>219</v>
      </c>
      <c r="F151" s="83">
        <f>'2014 ведомст'!G161</f>
        <v>1423.2</v>
      </c>
    </row>
    <row r="152" spans="1:6" ht="38.25">
      <c r="A152" s="70" t="s">
        <v>180</v>
      </c>
      <c r="B152" s="79" t="s">
        <v>144</v>
      </c>
      <c r="C152" s="79" t="s">
        <v>128</v>
      </c>
      <c r="D152" s="79" t="s">
        <v>181</v>
      </c>
      <c r="E152" s="79" t="s">
        <v>80</v>
      </c>
      <c r="F152" s="80">
        <f>F153</f>
        <v>4279.8999999999996</v>
      </c>
    </row>
    <row r="153" spans="1:6">
      <c r="A153" s="73" t="s">
        <v>115</v>
      </c>
      <c r="B153" s="82" t="s">
        <v>144</v>
      </c>
      <c r="C153" s="82" t="s">
        <v>128</v>
      </c>
      <c r="D153" s="82" t="s">
        <v>182</v>
      </c>
      <c r="E153" s="82" t="s">
        <v>80</v>
      </c>
      <c r="F153" s="83">
        <f>F154+F155</f>
        <v>4279.8999999999996</v>
      </c>
    </row>
    <row r="154" spans="1:6" ht="38.25">
      <c r="A154" s="95" t="s">
        <v>218</v>
      </c>
      <c r="B154" s="82" t="s">
        <v>144</v>
      </c>
      <c r="C154" s="82" t="s">
        <v>128</v>
      </c>
      <c r="D154" s="82" t="s">
        <v>182</v>
      </c>
      <c r="E154" s="88" t="s">
        <v>217</v>
      </c>
      <c r="F154" s="83">
        <f>'2014 ведомст'!G164</f>
        <v>3666.8999999999996</v>
      </c>
    </row>
    <row r="155" spans="1:6">
      <c r="A155" s="95" t="s">
        <v>221</v>
      </c>
      <c r="B155" s="82" t="s">
        <v>144</v>
      </c>
      <c r="C155" s="82" t="s">
        <v>128</v>
      </c>
      <c r="D155" s="82" t="s">
        <v>182</v>
      </c>
      <c r="E155" s="88" t="s">
        <v>219</v>
      </c>
      <c r="F155" s="83">
        <f>'2014 ведомст'!G165</f>
        <v>613</v>
      </c>
    </row>
    <row r="156" spans="1:6">
      <c r="A156" s="86" t="s">
        <v>95</v>
      </c>
      <c r="B156" s="79" t="s">
        <v>144</v>
      </c>
      <c r="C156" s="79" t="s">
        <v>128</v>
      </c>
      <c r="D156" s="79" t="s">
        <v>96</v>
      </c>
      <c r="E156" s="79" t="s">
        <v>80</v>
      </c>
      <c r="F156" s="87">
        <f>F157</f>
        <v>3641.8</v>
      </c>
    </row>
    <row r="157" spans="1:6" ht="25.5">
      <c r="A157" s="84" t="s">
        <v>183</v>
      </c>
      <c r="B157" s="106" t="s">
        <v>144</v>
      </c>
      <c r="C157" s="106" t="s">
        <v>128</v>
      </c>
      <c r="D157" s="106" t="s">
        <v>184</v>
      </c>
      <c r="E157" s="79" t="s">
        <v>80</v>
      </c>
      <c r="F157" s="83">
        <f>F158</f>
        <v>3641.8</v>
      </c>
    </row>
    <row r="158" spans="1:6">
      <c r="A158" s="73" t="s">
        <v>241</v>
      </c>
      <c r="B158" s="106" t="s">
        <v>144</v>
      </c>
      <c r="C158" s="106" t="s">
        <v>128</v>
      </c>
      <c r="D158" s="106" t="s">
        <v>184</v>
      </c>
      <c r="E158" s="79" t="s">
        <v>240</v>
      </c>
      <c r="F158" s="83">
        <f>'2014 ведомст'!G168</f>
        <v>3641.8</v>
      </c>
    </row>
    <row r="159" spans="1:6">
      <c r="A159" s="250" t="s">
        <v>185</v>
      </c>
      <c r="B159" s="251" t="s">
        <v>134</v>
      </c>
      <c r="C159" s="251" t="s">
        <v>186</v>
      </c>
      <c r="D159" s="251" t="s">
        <v>79</v>
      </c>
      <c r="E159" s="251" t="s">
        <v>80</v>
      </c>
      <c r="F159" s="252">
        <f>F160+F170</f>
        <v>28343.7</v>
      </c>
    </row>
    <row r="160" spans="1:6">
      <c r="A160" s="89" t="s">
        <v>187</v>
      </c>
      <c r="B160" s="79" t="s">
        <v>134</v>
      </c>
      <c r="C160" s="79" t="s">
        <v>77</v>
      </c>
      <c r="D160" s="79" t="s">
        <v>79</v>
      </c>
      <c r="E160" s="79" t="s">
        <v>80</v>
      </c>
      <c r="F160" s="80">
        <f>+F161+F164+F167</f>
        <v>27807.7</v>
      </c>
    </row>
    <row r="161" spans="1:6" ht="25.5">
      <c r="A161" s="89" t="s">
        <v>188</v>
      </c>
      <c r="B161" s="79" t="s">
        <v>134</v>
      </c>
      <c r="C161" s="79" t="s">
        <v>77</v>
      </c>
      <c r="D161" s="79" t="s">
        <v>119</v>
      </c>
      <c r="E161" s="79" t="s">
        <v>80</v>
      </c>
      <c r="F161" s="80">
        <f>F162</f>
        <v>13201.7</v>
      </c>
    </row>
    <row r="162" spans="1:6">
      <c r="A162" s="89" t="s">
        <v>115</v>
      </c>
      <c r="B162" s="79" t="s">
        <v>134</v>
      </c>
      <c r="C162" s="79" t="s">
        <v>77</v>
      </c>
      <c r="D162" s="79" t="s">
        <v>189</v>
      </c>
      <c r="E162" s="79" t="s">
        <v>80</v>
      </c>
      <c r="F162" s="80">
        <f>F163</f>
        <v>13201.7</v>
      </c>
    </row>
    <row r="163" spans="1:6">
      <c r="A163" s="73" t="s">
        <v>241</v>
      </c>
      <c r="B163" s="82" t="s">
        <v>134</v>
      </c>
      <c r="C163" s="82" t="s">
        <v>77</v>
      </c>
      <c r="D163" s="82" t="s">
        <v>189</v>
      </c>
      <c r="E163" s="88" t="s">
        <v>240</v>
      </c>
      <c r="F163" s="83">
        <f>'2014 ведомст'!G195</f>
        <v>13201.7</v>
      </c>
    </row>
    <row r="164" spans="1:6">
      <c r="A164" s="89" t="s">
        <v>190</v>
      </c>
      <c r="B164" s="79" t="s">
        <v>134</v>
      </c>
      <c r="C164" s="79" t="s">
        <v>77</v>
      </c>
      <c r="D164" s="79" t="s">
        <v>191</v>
      </c>
      <c r="E164" s="79" t="s">
        <v>80</v>
      </c>
      <c r="F164" s="80">
        <f>F165</f>
        <v>3658</v>
      </c>
    </row>
    <row r="165" spans="1:6">
      <c r="A165" s="84" t="s">
        <v>115</v>
      </c>
      <c r="B165" s="82" t="s">
        <v>134</v>
      </c>
      <c r="C165" s="82" t="s">
        <v>77</v>
      </c>
      <c r="D165" s="82" t="s">
        <v>192</v>
      </c>
      <c r="E165" s="82" t="s">
        <v>80</v>
      </c>
      <c r="F165" s="83">
        <f>F166</f>
        <v>3658</v>
      </c>
    </row>
    <row r="166" spans="1:6">
      <c r="A166" s="118" t="s">
        <v>241</v>
      </c>
      <c r="B166" s="82" t="s">
        <v>134</v>
      </c>
      <c r="C166" s="82" t="s">
        <v>77</v>
      </c>
      <c r="D166" s="82" t="s">
        <v>192</v>
      </c>
      <c r="E166" s="88" t="s">
        <v>240</v>
      </c>
      <c r="F166" s="83">
        <f>'2014 ведомст'!G198</f>
        <v>3658</v>
      </c>
    </row>
    <row r="167" spans="1:6">
      <c r="A167" s="89" t="s">
        <v>193</v>
      </c>
      <c r="B167" s="79" t="s">
        <v>134</v>
      </c>
      <c r="C167" s="79" t="s">
        <v>77</v>
      </c>
      <c r="D167" s="79" t="s">
        <v>194</v>
      </c>
      <c r="E167" s="79" t="s">
        <v>80</v>
      </c>
      <c r="F167" s="80">
        <f>F168</f>
        <v>10948</v>
      </c>
    </row>
    <row r="168" spans="1:6">
      <c r="A168" s="84" t="s">
        <v>115</v>
      </c>
      <c r="B168" s="82" t="s">
        <v>134</v>
      </c>
      <c r="C168" s="82" t="s">
        <v>77</v>
      </c>
      <c r="D168" s="82" t="s">
        <v>195</v>
      </c>
      <c r="E168" s="82" t="s">
        <v>80</v>
      </c>
      <c r="F168" s="83">
        <f>F169</f>
        <v>10948</v>
      </c>
    </row>
    <row r="169" spans="1:6">
      <c r="A169" s="73" t="s">
        <v>241</v>
      </c>
      <c r="B169" s="82" t="s">
        <v>134</v>
      </c>
      <c r="C169" s="82" t="s">
        <v>77</v>
      </c>
      <c r="D169" s="82" t="s">
        <v>195</v>
      </c>
      <c r="E169" s="88" t="s">
        <v>240</v>
      </c>
      <c r="F169" s="83">
        <f>'2014 ведомст'!G201</f>
        <v>10948</v>
      </c>
    </row>
    <row r="170" spans="1:6">
      <c r="A170" s="89" t="s">
        <v>196</v>
      </c>
      <c r="B170" s="79" t="s">
        <v>134</v>
      </c>
      <c r="C170" s="79" t="s">
        <v>93</v>
      </c>
      <c r="D170" s="79" t="s">
        <v>79</v>
      </c>
      <c r="E170" s="79" t="s">
        <v>80</v>
      </c>
      <c r="F170" s="80">
        <f>F171</f>
        <v>536</v>
      </c>
    </row>
    <row r="171" spans="1:6" ht="38.25">
      <c r="A171" s="73" t="s">
        <v>180</v>
      </c>
      <c r="B171" s="82" t="s">
        <v>134</v>
      </c>
      <c r="C171" s="82" t="s">
        <v>93</v>
      </c>
      <c r="D171" s="82" t="s">
        <v>181</v>
      </c>
      <c r="E171" s="82" t="s">
        <v>80</v>
      </c>
      <c r="F171" s="83">
        <f>F172</f>
        <v>536</v>
      </c>
    </row>
    <row r="172" spans="1:6">
      <c r="A172" s="73" t="s">
        <v>115</v>
      </c>
      <c r="B172" s="82" t="s">
        <v>134</v>
      </c>
      <c r="C172" s="82" t="s">
        <v>93</v>
      </c>
      <c r="D172" s="82" t="s">
        <v>182</v>
      </c>
      <c r="E172" s="82" t="s">
        <v>80</v>
      </c>
      <c r="F172" s="83">
        <f>F173+F174</f>
        <v>536</v>
      </c>
    </row>
    <row r="173" spans="1:6" ht="38.25">
      <c r="A173" s="95" t="s">
        <v>218</v>
      </c>
      <c r="B173" s="82" t="s">
        <v>134</v>
      </c>
      <c r="C173" s="82" t="s">
        <v>133</v>
      </c>
      <c r="D173" s="82" t="s">
        <v>182</v>
      </c>
      <c r="E173" s="88" t="s">
        <v>217</v>
      </c>
      <c r="F173" s="83">
        <f>'2014 ведомст'!G205</f>
        <v>458.2</v>
      </c>
    </row>
    <row r="174" spans="1:6">
      <c r="A174" s="95" t="s">
        <v>221</v>
      </c>
      <c r="B174" s="82" t="s">
        <v>134</v>
      </c>
      <c r="C174" s="82" t="s">
        <v>133</v>
      </c>
      <c r="D174" s="82" t="s">
        <v>182</v>
      </c>
      <c r="E174" s="88" t="s">
        <v>219</v>
      </c>
      <c r="F174" s="83">
        <f>'2014 ведомст'!G206</f>
        <v>77.8</v>
      </c>
    </row>
    <row r="175" spans="1:6">
      <c r="A175" s="249" t="s">
        <v>197</v>
      </c>
      <c r="B175" s="239" t="s">
        <v>128</v>
      </c>
      <c r="C175" s="239" t="s">
        <v>78</v>
      </c>
      <c r="D175" s="239" t="s">
        <v>79</v>
      </c>
      <c r="E175" s="239" t="s">
        <v>80</v>
      </c>
      <c r="F175" s="242">
        <f>F177</f>
        <v>240.4</v>
      </c>
    </row>
    <row r="176" spans="1:6">
      <c r="A176" s="73" t="s">
        <v>198</v>
      </c>
      <c r="B176" s="82" t="s">
        <v>128</v>
      </c>
      <c r="C176" s="82" t="s">
        <v>144</v>
      </c>
      <c r="D176" s="82" t="s">
        <v>79</v>
      </c>
      <c r="E176" s="82" t="s">
        <v>80</v>
      </c>
      <c r="F176" s="83">
        <f>F177</f>
        <v>240.4</v>
      </c>
    </row>
    <row r="177" spans="1:6">
      <c r="A177" s="84" t="s">
        <v>95</v>
      </c>
      <c r="B177" s="82" t="s">
        <v>128</v>
      </c>
      <c r="C177" s="82" t="s">
        <v>144</v>
      </c>
      <c r="D177" s="82" t="s">
        <v>96</v>
      </c>
      <c r="E177" s="82" t="s">
        <v>80</v>
      </c>
      <c r="F177" s="83">
        <f>F178</f>
        <v>240.4</v>
      </c>
    </row>
    <row r="178" spans="1:6" ht="89.25">
      <c r="A178" s="110" t="s">
        <v>199</v>
      </c>
      <c r="B178" s="82" t="s">
        <v>128</v>
      </c>
      <c r="C178" s="82" t="s">
        <v>144</v>
      </c>
      <c r="D178" s="82" t="s">
        <v>200</v>
      </c>
      <c r="E178" s="82" t="s">
        <v>80</v>
      </c>
      <c r="F178" s="83">
        <f>F179</f>
        <v>240.4</v>
      </c>
    </row>
    <row r="179" spans="1:6">
      <c r="A179" s="95" t="s">
        <v>221</v>
      </c>
      <c r="B179" s="82" t="s">
        <v>128</v>
      </c>
      <c r="C179" s="82" t="s">
        <v>144</v>
      </c>
      <c r="D179" s="82" t="s">
        <v>200</v>
      </c>
      <c r="E179" s="88" t="s">
        <v>219</v>
      </c>
      <c r="F179" s="83">
        <v>240.4</v>
      </c>
    </row>
    <row r="180" spans="1:6">
      <c r="A180" s="240" t="s">
        <v>201</v>
      </c>
      <c r="B180" s="239" t="s">
        <v>202</v>
      </c>
      <c r="C180" s="239" t="s">
        <v>78</v>
      </c>
      <c r="D180" s="239" t="s">
        <v>79</v>
      </c>
      <c r="E180" s="239" t="s">
        <v>80</v>
      </c>
      <c r="F180" s="242">
        <f>F181+F184</f>
        <v>6242.2999999999993</v>
      </c>
    </row>
    <row r="181" spans="1:6">
      <c r="A181" s="121" t="s">
        <v>242</v>
      </c>
      <c r="B181" s="122" t="s">
        <v>202</v>
      </c>
      <c r="C181" s="122" t="s">
        <v>87</v>
      </c>
      <c r="D181" s="122" t="s">
        <v>79</v>
      </c>
      <c r="E181" s="122" t="s">
        <v>80</v>
      </c>
      <c r="F181" s="123">
        <f>F182</f>
        <v>2851.7</v>
      </c>
    </row>
    <row r="182" spans="1:6">
      <c r="A182" s="118" t="s">
        <v>243</v>
      </c>
      <c r="B182" s="74" t="s">
        <v>202</v>
      </c>
      <c r="C182" s="74" t="s">
        <v>87</v>
      </c>
      <c r="D182" s="88" t="s">
        <v>203</v>
      </c>
      <c r="E182" s="82" t="s">
        <v>80</v>
      </c>
      <c r="F182" s="85">
        <f>F183</f>
        <v>2851.7</v>
      </c>
    </row>
    <row r="183" spans="1:6">
      <c r="A183" s="118" t="s">
        <v>317</v>
      </c>
      <c r="B183" s="74" t="s">
        <v>202</v>
      </c>
      <c r="C183" s="74" t="s">
        <v>87</v>
      </c>
      <c r="D183" s="88" t="s">
        <v>203</v>
      </c>
      <c r="E183" s="88" t="s">
        <v>240</v>
      </c>
      <c r="F183" s="85">
        <f>'2014 ведомст'!G172</f>
        <v>2851.7</v>
      </c>
    </row>
    <row r="184" spans="1:6">
      <c r="A184" s="118" t="s">
        <v>334</v>
      </c>
      <c r="B184" s="93" t="s">
        <v>202</v>
      </c>
      <c r="C184" s="93" t="s">
        <v>93</v>
      </c>
      <c r="D184" s="88" t="s">
        <v>146</v>
      </c>
      <c r="E184" s="88" t="s">
        <v>80</v>
      </c>
      <c r="F184" s="85">
        <f>F185</f>
        <v>3390.6</v>
      </c>
    </row>
    <row r="185" spans="1:6" ht="38.25">
      <c r="A185" s="118" t="s">
        <v>335</v>
      </c>
      <c r="B185" s="93" t="s">
        <v>202</v>
      </c>
      <c r="C185" s="93" t="s">
        <v>93</v>
      </c>
      <c r="D185" s="88" t="s">
        <v>338</v>
      </c>
      <c r="E185" s="88" t="s">
        <v>80</v>
      </c>
      <c r="F185" s="85">
        <f>F186</f>
        <v>3390.6</v>
      </c>
    </row>
    <row r="186" spans="1:6">
      <c r="A186" s="118" t="s">
        <v>337</v>
      </c>
      <c r="B186" s="93" t="s">
        <v>202</v>
      </c>
      <c r="C186" s="93" t="s">
        <v>93</v>
      </c>
      <c r="D186" s="88" t="s">
        <v>338</v>
      </c>
      <c r="E186" s="88" t="s">
        <v>336</v>
      </c>
      <c r="F186" s="85">
        <v>3390.6</v>
      </c>
    </row>
    <row r="187" spans="1:6">
      <c r="A187" s="281" t="s">
        <v>327</v>
      </c>
      <c r="B187" s="243" t="s">
        <v>104</v>
      </c>
      <c r="C187" s="243" t="s">
        <v>78</v>
      </c>
      <c r="D187" s="239" t="s">
        <v>79</v>
      </c>
      <c r="E187" s="239" t="s">
        <v>80</v>
      </c>
      <c r="F187" s="242">
        <f>F188</f>
        <v>630</v>
      </c>
    </row>
    <row r="188" spans="1:6">
      <c r="A188" s="111" t="s">
        <v>204</v>
      </c>
      <c r="B188" s="98" t="s">
        <v>104</v>
      </c>
      <c r="C188" s="98" t="s">
        <v>82</v>
      </c>
      <c r="D188" s="98" t="s">
        <v>79</v>
      </c>
      <c r="E188" s="98" t="s">
        <v>80</v>
      </c>
      <c r="F188" s="99">
        <f>F189</f>
        <v>630</v>
      </c>
    </row>
    <row r="189" spans="1:6" ht="34.5" customHeight="1">
      <c r="A189" s="84" t="s">
        <v>357</v>
      </c>
      <c r="B189" s="82" t="s">
        <v>104</v>
      </c>
      <c r="C189" s="82" t="s">
        <v>82</v>
      </c>
      <c r="D189" s="82" t="s">
        <v>205</v>
      </c>
      <c r="E189" s="82" t="s">
        <v>80</v>
      </c>
      <c r="F189" s="83">
        <f>F190</f>
        <v>630</v>
      </c>
    </row>
    <row r="190" spans="1:6">
      <c r="A190" s="73" t="s">
        <v>221</v>
      </c>
      <c r="B190" s="82" t="s">
        <v>104</v>
      </c>
      <c r="C190" s="82" t="s">
        <v>82</v>
      </c>
      <c r="D190" s="82" t="s">
        <v>205</v>
      </c>
      <c r="E190" s="88" t="s">
        <v>219</v>
      </c>
      <c r="F190" s="83">
        <v>630</v>
      </c>
    </row>
    <row r="191" spans="1:6" ht="25.5">
      <c r="A191" s="240" t="s">
        <v>206</v>
      </c>
      <c r="B191" s="243" t="s">
        <v>207</v>
      </c>
      <c r="C191" s="243" t="s">
        <v>78</v>
      </c>
      <c r="D191" s="239" t="s">
        <v>79</v>
      </c>
      <c r="E191" s="239" t="s">
        <v>80</v>
      </c>
      <c r="F191" s="242">
        <f>F192+F199</f>
        <v>79845.400000000009</v>
      </c>
    </row>
    <row r="192" spans="1:6" ht="25.5">
      <c r="A192" s="89" t="s">
        <v>208</v>
      </c>
      <c r="B192" s="76" t="s">
        <v>207</v>
      </c>
      <c r="C192" s="76" t="s">
        <v>77</v>
      </c>
      <c r="D192" s="79" t="s">
        <v>79</v>
      </c>
      <c r="E192" s="79" t="s">
        <v>80</v>
      </c>
      <c r="F192" s="80">
        <f>F193</f>
        <v>49930.600000000006</v>
      </c>
    </row>
    <row r="193" spans="1:6">
      <c r="A193" s="84" t="s">
        <v>209</v>
      </c>
      <c r="B193" s="74" t="s">
        <v>207</v>
      </c>
      <c r="C193" s="74" t="s">
        <v>77</v>
      </c>
      <c r="D193" s="82" t="s">
        <v>210</v>
      </c>
      <c r="E193" s="82" t="s">
        <v>80</v>
      </c>
      <c r="F193" s="80">
        <f>F194</f>
        <v>49930.600000000006</v>
      </c>
    </row>
    <row r="194" spans="1:6">
      <c r="A194" s="84" t="s">
        <v>209</v>
      </c>
      <c r="B194" s="74" t="s">
        <v>207</v>
      </c>
      <c r="C194" s="74" t="s">
        <v>77</v>
      </c>
      <c r="D194" s="88" t="s">
        <v>342</v>
      </c>
      <c r="E194" s="82" t="s">
        <v>80</v>
      </c>
      <c r="F194" s="83">
        <f>F195+F197</f>
        <v>49930.600000000006</v>
      </c>
    </row>
    <row r="195" spans="1:6" ht="25.5">
      <c r="A195" s="118" t="s">
        <v>341</v>
      </c>
      <c r="B195" s="74" t="s">
        <v>207</v>
      </c>
      <c r="C195" s="74" t="s">
        <v>77</v>
      </c>
      <c r="D195" s="88" t="s">
        <v>340</v>
      </c>
      <c r="E195" s="88" t="s">
        <v>80</v>
      </c>
      <c r="F195" s="83">
        <v>49775.8</v>
      </c>
    </row>
    <row r="196" spans="1:6">
      <c r="A196" s="118" t="s">
        <v>95</v>
      </c>
      <c r="B196" s="74" t="s">
        <v>207</v>
      </c>
      <c r="C196" s="74" t="s">
        <v>77</v>
      </c>
      <c r="D196" s="88" t="s">
        <v>340</v>
      </c>
      <c r="E196" s="88" t="s">
        <v>91</v>
      </c>
      <c r="F196" s="83">
        <v>49775.8</v>
      </c>
    </row>
    <row r="197" spans="1:6" ht="25.5">
      <c r="A197" s="118" t="s">
        <v>341</v>
      </c>
      <c r="B197" s="74" t="s">
        <v>207</v>
      </c>
      <c r="C197" s="74" t="s">
        <v>77</v>
      </c>
      <c r="D197" s="88" t="s">
        <v>339</v>
      </c>
      <c r="E197" s="88" t="s">
        <v>80</v>
      </c>
      <c r="F197" s="83">
        <v>154.80000000000001</v>
      </c>
    </row>
    <row r="198" spans="1:6">
      <c r="A198" s="118" t="s">
        <v>95</v>
      </c>
      <c r="B198" s="74" t="s">
        <v>207</v>
      </c>
      <c r="C198" s="74" t="s">
        <v>77</v>
      </c>
      <c r="D198" s="88" t="s">
        <v>339</v>
      </c>
      <c r="E198" s="88" t="s">
        <v>91</v>
      </c>
      <c r="F198" s="83">
        <v>154.80000000000001</v>
      </c>
    </row>
    <row r="199" spans="1:6">
      <c r="A199" s="89" t="s">
        <v>211</v>
      </c>
      <c r="B199" s="90" t="s">
        <v>207</v>
      </c>
      <c r="C199" s="90" t="s">
        <v>82</v>
      </c>
      <c r="D199" s="79" t="s">
        <v>146</v>
      </c>
      <c r="E199" s="79" t="s">
        <v>80</v>
      </c>
      <c r="F199" s="80">
        <f>F200</f>
        <v>29914.800000000003</v>
      </c>
    </row>
    <row r="200" spans="1:6">
      <c r="A200" s="89" t="s">
        <v>212</v>
      </c>
      <c r="B200" s="90" t="s">
        <v>207</v>
      </c>
      <c r="C200" s="90" t="s">
        <v>82</v>
      </c>
      <c r="D200" s="79" t="s">
        <v>213</v>
      </c>
      <c r="E200" s="79" t="s">
        <v>80</v>
      </c>
      <c r="F200" s="80">
        <f>F201+F203</f>
        <v>29914.800000000003</v>
      </c>
    </row>
    <row r="201" spans="1:6">
      <c r="A201" s="118" t="s">
        <v>214</v>
      </c>
      <c r="B201" s="81" t="s">
        <v>207</v>
      </c>
      <c r="C201" s="81" t="s">
        <v>82</v>
      </c>
      <c r="D201" s="82" t="s">
        <v>215</v>
      </c>
      <c r="E201" s="82" t="s">
        <v>80</v>
      </c>
      <c r="F201" s="83">
        <f>F202</f>
        <v>4462.6000000000004</v>
      </c>
    </row>
    <row r="202" spans="1:6">
      <c r="A202" s="292" t="s">
        <v>95</v>
      </c>
      <c r="B202" s="293" t="s">
        <v>207</v>
      </c>
      <c r="C202" s="293" t="s">
        <v>82</v>
      </c>
      <c r="D202" s="223" t="s">
        <v>215</v>
      </c>
      <c r="E202" s="223" t="s">
        <v>91</v>
      </c>
      <c r="F202" s="224">
        <v>4462.6000000000004</v>
      </c>
    </row>
    <row r="203" spans="1:6">
      <c r="A203" s="118" t="s">
        <v>214</v>
      </c>
      <c r="B203" s="102" t="s">
        <v>207</v>
      </c>
      <c r="C203" s="102" t="s">
        <v>82</v>
      </c>
      <c r="D203" s="88" t="s">
        <v>343</v>
      </c>
      <c r="E203" s="88" t="s">
        <v>80</v>
      </c>
      <c r="F203" s="85">
        <f>F204</f>
        <v>25452.2</v>
      </c>
    </row>
    <row r="204" spans="1:6" ht="13.5" thickBot="1">
      <c r="A204" s="292" t="s">
        <v>95</v>
      </c>
      <c r="B204" s="304" t="s">
        <v>344</v>
      </c>
      <c r="C204" s="304" t="s">
        <v>345</v>
      </c>
      <c r="D204" s="223" t="s">
        <v>343</v>
      </c>
      <c r="E204" s="223" t="s">
        <v>91</v>
      </c>
      <c r="F204" s="224">
        <v>25452.2</v>
      </c>
    </row>
    <row r="205" spans="1:6" ht="13.5" thickBot="1">
      <c r="A205" s="305" t="s">
        <v>62</v>
      </c>
      <c r="B205" s="306"/>
      <c r="C205" s="306"/>
      <c r="D205" s="306"/>
      <c r="E205" s="306"/>
      <c r="F205" s="307">
        <f>F7+F77+F81+F95+F101+F159+F175+F180+F187+F191+F86</f>
        <v>519553.57000000007</v>
      </c>
    </row>
    <row r="206" spans="1:6">
      <c r="A206" s="289"/>
      <c r="B206" s="290"/>
      <c r="C206" s="290"/>
      <c r="D206" s="290"/>
      <c r="E206" s="290"/>
      <c r="F206" s="291"/>
    </row>
    <row r="207" spans="1:6">
      <c r="A207" s="112"/>
      <c r="B207" s="113"/>
      <c r="C207" s="113"/>
      <c r="D207" s="113"/>
      <c r="E207" s="113"/>
      <c r="F207" s="114"/>
    </row>
    <row r="208" spans="1:6" ht="15.75">
      <c r="A208" s="115" t="s">
        <v>216</v>
      </c>
      <c r="B208" s="116"/>
      <c r="C208" s="116"/>
      <c r="D208" s="116"/>
      <c r="E208" s="44" t="s">
        <v>41</v>
      </c>
      <c r="F208" s="117"/>
    </row>
    <row r="209" spans="6:6">
      <c r="F209" s="23"/>
    </row>
    <row r="210" spans="6:6">
      <c r="F210" s="23"/>
    </row>
    <row r="211" spans="6:6">
      <c r="F211" s="23"/>
    </row>
  </sheetData>
  <autoFilter ref="A6:F205">
    <filterColumn colId="1"/>
  </autoFilter>
  <mergeCells count="1">
    <mergeCell ref="A4:F4"/>
  </mergeCells>
  <printOptions horizontalCentered="1"/>
  <pageMargins left="0.78740157480314965" right="0.78740157480314965" top="0.47244094488188981" bottom="0.31496062992125984" header="0.51181102362204722" footer="0.51181102362204722"/>
  <pageSetup paperSize="9" scale="69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topLeftCell="A25" workbookViewId="0">
      <selection activeCell="C8" sqref="C8"/>
    </sheetView>
  </sheetViews>
  <sheetFormatPr defaultRowHeight="12.75"/>
  <cols>
    <col min="1" max="1" width="41.28515625" customWidth="1"/>
    <col min="2" max="2" width="15.42578125" customWidth="1"/>
    <col min="3" max="3" width="25.28515625" customWidth="1"/>
  </cols>
  <sheetData>
    <row r="1" spans="1:3">
      <c r="C1" s="5" t="s">
        <v>66</v>
      </c>
    </row>
    <row r="2" spans="1:3" ht="56.25" hidden="1" customHeight="1">
      <c r="C2" s="48" t="s">
        <v>67</v>
      </c>
    </row>
    <row r="4" spans="1:3" ht="30" customHeight="1">
      <c r="A4" s="311" t="s">
        <v>248</v>
      </c>
      <c r="B4" s="311"/>
      <c r="C4" s="311"/>
    </row>
    <row r="5" spans="1:3" ht="15.75">
      <c r="A5" s="38"/>
    </row>
    <row r="6" spans="1:3" ht="15.75">
      <c r="A6" s="38"/>
      <c r="C6" s="5" t="s">
        <v>43</v>
      </c>
    </row>
    <row r="7" spans="1:3" ht="16.5" thickBot="1">
      <c r="B7" s="312"/>
      <c r="C7" s="312"/>
    </row>
    <row r="8" spans="1:3" ht="108" customHeight="1" thickBot="1">
      <c r="A8" s="58" t="s">
        <v>44</v>
      </c>
      <c r="B8" s="59" t="s">
        <v>68</v>
      </c>
      <c r="C8" s="60" t="s">
        <v>69</v>
      </c>
    </row>
    <row r="9" spans="1:3" ht="15.75">
      <c r="A9" s="45" t="s">
        <v>45</v>
      </c>
      <c r="B9" s="54">
        <f>875.5+C9</f>
        <v>882.5</v>
      </c>
      <c r="C9" s="54">
        <v>7</v>
      </c>
    </row>
    <row r="10" spans="1:3" ht="15.75">
      <c r="A10" s="45" t="s">
        <v>46</v>
      </c>
      <c r="B10" s="54">
        <f>1139+C10</f>
        <v>1144.5999999999999</v>
      </c>
      <c r="C10" s="54">
        <v>5.6</v>
      </c>
    </row>
    <row r="11" spans="1:3" ht="15.75">
      <c r="A11" s="45" t="s">
        <v>47</v>
      </c>
      <c r="B11" s="54">
        <f>1666.1+C11</f>
        <v>1675.3</v>
      </c>
      <c r="C11" s="54">
        <v>9.1999999999999993</v>
      </c>
    </row>
    <row r="12" spans="1:3" ht="15.75">
      <c r="A12" s="45" t="s">
        <v>48</v>
      </c>
      <c r="B12" s="54">
        <f>1152+C12</f>
        <v>1155.5999999999999</v>
      </c>
      <c r="C12" s="54">
        <v>3.6</v>
      </c>
    </row>
    <row r="13" spans="1:3" ht="15.75">
      <c r="A13" s="45" t="s">
        <v>49</v>
      </c>
      <c r="B13" s="54">
        <f>C13</f>
        <v>4.2</v>
      </c>
      <c r="C13" s="54">
        <v>4.2</v>
      </c>
    </row>
    <row r="14" spans="1:3" ht="15.75">
      <c r="A14" s="45" t="s">
        <v>50</v>
      </c>
      <c r="B14" s="54">
        <f>1760.4+C14</f>
        <v>1772.9</v>
      </c>
      <c r="C14" s="54">
        <v>12.5</v>
      </c>
    </row>
    <row r="15" spans="1:3" ht="15.75">
      <c r="A15" s="45" t="s">
        <v>51</v>
      </c>
      <c r="B15" s="54">
        <f>1434.6+4</f>
        <v>1438.6</v>
      </c>
      <c r="C15" s="54">
        <v>4</v>
      </c>
    </row>
    <row r="16" spans="1:3" ht="15.75">
      <c r="A16" s="45" t="s">
        <v>52</v>
      </c>
      <c r="B16" s="54">
        <f>8.1+2221.8</f>
        <v>2229.9</v>
      </c>
      <c r="C16" s="54">
        <v>8.1</v>
      </c>
    </row>
    <row r="17" spans="1:3" ht="15.75">
      <c r="A17" s="45" t="s">
        <v>53</v>
      </c>
      <c r="B17" s="54">
        <f>5.2+1317.9</f>
        <v>1323.1000000000001</v>
      </c>
      <c r="C17" s="54">
        <v>5.2</v>
      </c>
    </row>
    <row r="18" spans="1:3" ht="15.75">
      <c r="A18" s="45" t="s">
        <v>54</v>
      </c>
      <c r="B18" s="54">
        <f>9.9+1980.9</f>
        <v>1990.8000000000002</v>
      </c>
      <c r="C18" s="54">
        <v>9.9</v>
      </c>
    </row>
    <row r="19" spans="1:3" ht="15.75">
      <c r="A19" s="45" t="s">
        <v>55</v>
      </c>
      <c r="B19" s="54">
        <f>4.7+615.6</f>
        <v>620.30000000000007</v>
      </c>
      <c r="C19" s="54">
        <v>4.7</v>
      </c>
    </row>
    <row r="20" spans="1:3" ht="15.75">
      <c r="A20" s="45" t="s">
        <v>56</v>
      </c>
      <c r="B20" s="54">
        <f>1030.7+C20</f>
        <v>1037.6000000000001</v>
      </c>
      <c r="C20" s="54">
        <v>6.9</v>
      </c>
    </row>
    <row r="21" spans="1:3" ht="15.75">
      <c r="A21" s="45" t="s">
        <v>57</v>
      </c>
      <c r="B21" s="54">
        <f>5.2+928.4</f>
        <v>933.6</v>
      </c>
      <c r="C21" s="54">
        <v>5.2</v>
      </c>
    </row>
    <row r="22" spans="1:3" ht="15.75">
      <c r="A22" s="45" t="s">
        <v>58</v>
      </c>
      <c r="B22" s="54">
        <f>7.7+2448.5</f>
        <v>2456.1999999999998</v>
      </c>
      <c r="C22" s="54">
        <v>7.7</v>
      </c>
    </row>
    <row r="23" spans="1:3" ht="15.75">
      <c r="A23" s="45" t="s">
        <v>59</v>
      </c>
      <c r="B23" s="54">
        <f>4+1172.1</f>
        <v>1176.0999999999999</v>
      </c>
      <c r="C23" s="54">
        <v>4</v>
      </c>
    </row>
    <row r="24" spans="1:3" ht="15.75">
      <c r="A24" s="45" t="s">
        <v>60</v>
      </c>
      <c r="B24" s="54">
        <f>6.3+1532.4</f>
        <v>1538.7</v>
      </c>
      <c r="C24" s="54">
        <v>6.3</v>
      </c>
    </row>
    <row r="25" spans="1:3" ht="15.75">
      <c r="A25" s="45" t="s">
        <v>65</v>
      </c>
      <c r="B25" s="54">
        <f>46.3+27295.9</f>
        <v>27342.2</v>
      </c>
      <c r="C25" s="54">
        <v>46.3</v>
      </c>
    </row>
    <row r="26" spans="1:3" ht="15.75">
      <c r="A26" s="45" t="s">
        <v>61</v>
      </c>
      <c r="B26" s="54">
        <f>4.4+1204</f>
        <v>1208.4000000000001</v>
      </c>
      <c r="C26" s="54">
        <v>4.4000000000000004</v>
      </c>
    </row>
    <row r="27" spans="1:3" ht="15.75">
      <c r="A27" s="45"/>
      <c r="B27" s="61"/>
      <c r="C27" s="61"/>
    </row>
    <row r="28" spans="1:3" ht="15.75">
      <c r="A28" s="45" t="s">
        <v>62</v>
      </c>
      <c r="B28" s="56">
        <f>SUM(B9:B26)</f>
        <v>49930.6</v>
      </c>
      <c r="C28" s="54">
        <f>SUM(C9:C27)</f>
        <v>154.80000000000001</v>
      </c>
    </row>
    <row r="29" spans="1:3" ht="15.75">
      <c r="A29" s="45"/>
      <c r="B29" s="62"/>
      <c r="C29" s="54"/>
    </row>
    <row r="30" spans="1:3" ht="15.75">
      <c r="A30" s="45"/>
      <c r="B30" s="62"/>
      <c r="C30" s="54"/>
    </row>
    <row r="32" spans="1:3" ht="18" customHeight="1">
      <c r="A32" s="35" t="s">
        <v>39</v>
      </c>
      <c r="C32" s="5"/>
    </row>
    <row r="33" spans="1:3" ht="15.75">
      <c r="A33" s="313" t="s">
        <v>40</v>
      </c>
      <c r="B33" s="313"/>
      <c r="C33" s="37" t="s">
        <v>41</v>
      </c>
    </row>
  </sheetData>
  <mergeCells count="3">
    <mergeCell ref="A4:C4"/>
    <mergeCell ref="B7:C7"/>
    <mergeCell ref="A33:B3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topLeftCell="A4" workbookViewId="0">
      <selection activeCell="B8" sqref="B8"/>
    </sheetView>
  </sheetViews>
  <sheetFormatPr defaultRowHeight="12.75"/>
  <cols>
    <col min="1" max="1" width="43.140625" customWidth="1"/>
    <col min="2" max="2" width="33.42578125" customWidth="1"/>
    <col min="3" max="3" width="14.140625" customWidth="1"/>
  </cols>
  <sheetData>
    <row r="1" spans="1:2">
      <c r="B1" s="5" t="s">
        <v>64</v>
      </c>
    </row>
    <row r="2" spans="1:2" ht="39.75" hidden="1" customHeight="1">
      <c r="B2" s="48" t="s">
        <v>42</v>
      </c>
    </row>
    <row r="4" spans="1:2" ht="48.75" customHeight="1">
      <c r="A4" s="311" t="s">
        <v>247</v>
      </c>
      <c r="B4" s="311"/>
    </row>
    <row r="5" spans="1:2" ht="15.75">
      <c r="A5" s="38"/>
    </row>
    <row r="6" spans="1:2" ht="13.5" thickBot="1">
      <c r="B6" s="5" t="s">
        <v>43</v>
      </c>
    </row>
    <row r="7" spans="1:2" ht="16.5" thickBot="1">
      <c r="A7" s="52" t="s">
        <v>44</v>
      </c>
      <c r="B7" s="40" t="s">
        <v>63</v>
      </c>
    </row>
    <row r="8" spans="1:2" ht="15.75">
      <c r="A8" s="45" t="s">
        <v>45</v>
      </c>
      <c r="B8" s="53">
        <v>612.20000000000005</v>
      </c>
    </row>
    <row r="9" spans="1:2" ht="15.75">
      <c r="A9" s="45" t="s">
        <v>46</v>
      </c>
      <c r="B9" s="54">
        <v>692.9</v>
      </c>
    </row>
    <row r="10" spans="1:2" ht="15.75">
      <c r="A10" s="45" t="s">
        <v>47</v>
      </c>
      <c r="B10" s="54">
        <v>1158.2</v>
      </c>
    </row>
    <row r="11" spans="1:2" ht="15.75">
      <c r="A11" s="45" t="s">
        <v>48</v>
      </c>
      <c r="B11" s="54">
        <v>682.2</v>
      </c>
    </row>
    <row r="12" spans="1:2" ht="15.75">
      <c r="A12" s="45" t="s">
        <v>328</v>
      </c>
      <c r="B12" s="54">
        <v>1177</v>
      </c>
    </row>
    <row r="13" spans="1:2" ht="15.75">
      <c r="A13" s="45" t="s">
        <v>51</v>
      </c>
      <c r="B13" s="54">
        <v>798.3</v>
      </c>
    </row>
    <row r="14" spans="1:2" ht="15.75">
      <c r="A14" s="45" t="s">
        <v>52</v>
      </c>
      <c r="B14" s="54">
        <v>1196.9000000000001</v>
      </c>
    </row>
    <row r="15" spans="1:2" ht="15.75">
      <c r="A15" s="45" t="s">
        <v>53</v>
      </c>
      <c r="B15" s="54">
        <v>866.6</v>
      </c>
    </row>
    <row r="16" spans="1:2" ht="15.75">
      <c r="A16" s="45" t="s">
        <v>54</v>
      </c>
      <c r="B16" s="54">
        <v>1177.5999999999999</v>
      </c>
    </row>
    <row r="17" spans="1:3" ht="15.75">
      <c r="A17" s="45" t="s">
        <v>55</v>
      </c>
      <c r="B17" s="54">
        <v>546.5</v>
      </c>
    </row>
    <row r="18" spans="1:3" ht="15.75">
      <c r="A18" s="45" t="s">
        <v>56</v>
      </c>
      <c r="B18" s="54">
        <v>832.7</v>
      </c>
    </row>
    <row r="19" spans="1:3" ht="15.75">
      <c r="A19" s="45" t="s">
        <v>57</v>
      </c>
      <c r="B19" s="54">
        <v>653.29999999999995</v>
      </c>
    </row>
    <row r="20" spans="1:3" ht="15.75">
      <c r="A20" s="45" t="s">
        <v>58</v>
      </c>
      <c r="B20" s="54">
        <v>1402.2</v>
      </c>
    </row>
    <row r="21" spans="1:3" ht="15.75">
      <c r="A21" s="45" t="s">
        <v>59</v>
      </c>
      <c r="B21" s="54">
        <v>677</v>
      </c>
    </row>
    <row r="22" spans="1:3" ht="15.75">
      <c r="A22" s="45" t="s">
        <v>60</v>
      </c>
      <c r="B22" s="54">
        <v>920.2</v>
      </c>
    </row>
    <row r="23" spans="1:3" ht="15.75">
      <c r="A23" s="45" t="s">
        <v>65</v>
      </c>
      <c r="B23" s="54">
        <v>15804</v>
      </c>
    </row>
    <row r="24" spans="1:3" ht="15.75">
      <c r="A24" s="45" t="s">
        <v>61</v>
      </c>
      <c r="B24" s="54">
        <v>717</v>
      </c>
    </row>
    <row r="25" spans="1:3" ht="15.75">
      <c r="A25" s="45"/>
      <c r="B25" s="55"/>
    </row>
    <row r="26" spans="1:3" ht="15.75">
      <c r="A26" s="45" t="s">
        <v>62</v>
      </c>
      <c r="B26" s="56">
        <f>SUM(B8:B25)</f>
        <v>29914.800000000003</v>
      </c>
    </row>
    <row r="28" spans="1:3" ht="15.75">
      <c r="A28" s="35" t="s">
        <v>39</v>
      </c>
      <c r="C28" s="5"/>
    </row>
    <row r="29" spans="1:3" ht="42.75" customHeight="1">
      <c r="A29" s="57" t="s">
        <v>40</v>
      </c>
      <c r="B29" s="37" t="s">
        <v>41</v>
      </c>
      <c r="C29" s="37"/>
    </row>
  </sheetData>
  <mergeCells count="1"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workbookViewId="0">
      <selection activeCell="B8" sqref="B8"/>
    </sheetView>
  </sheetViews>
  <sheetFormatPr defaultRowHeight="12.75"/>
  <cols>
    <col min="1" max="1" width="35.28515625" customWidth="1"/>
    <col min="2" max="2" width="39.42578125" customWidth="1"/>
  </cols>
  <sheetData>
    <row r="1" spans="1:2" ht="41.25" customHeight="1">
      <c r="B1" s="253" t="s">
        <v>346</v>
      </c>
    </row>
    <row r="2" spans="1:2" ht="13.5" hidden="1" customHeight="1">
      <c r="B2" s="48" t="s">
        <v>42</v>
      </c>
    </row>
    <row r="3" spans="1:2" ht="63.75" customHeight="1">
      <c r="A3" s="311" t="s">
        <v>246</v>
      </c>
      <c r="B3" s="311"/>
    </row>
    <row r="4" spans="1:2" ht="15.75">
      <c r="A4" s="38"/>
    </row>
    <row r="5" spans="1:2" ht="13.5" thickBot="1">
      <c r="B5" s="5" t="s">
        <v>2</v>
      </c>
    </row>
    <row r="6" spans="1:2" ht="16.5" thickBot="1">
      <c r="A6" s="39" t="s">
        <v>44</v>
      </c>
      <c r="B6" s="49" t="s">
        <v>63</v>
      </c>
    </row>
    <row r="7" spans="1:2" ht="15.75">
      <c r="A7" s="42"/>
      <c r="B7" s="44"/>
    </row>
    <row r="8" spans="1:2" ht="15.75">
      <c r="A8" s="45" t="s">
        <v>45</v>
      </c>
      <c r="B8" s="46">
        <v>68.8</v>
      </c>
    </row>
    <row r="9" spans="1:2" ht="15.75">
      <c r="A9" s="45" t="s">
        <v>46</v>
      </c>
      <c r="B9" s="46">
        <v>68.8</v>
      </c>
    </row>
    <row r="10" spans="1:2" ht="15.75">
      <c r="A10" s="45" t="s">
        <v>47</v>
      </c>
      <c r="B10" s="46">
        <v>89.2</v>
      </c>
    </row>
    <row r="11" spans="1:2" ht="15.75">
      <c r="A11" s="45" t="s">
        <v>48</v>
      </c>
      <c r="B11" s="46">
        <v>60.8</v>
      </c>
    </row>
    <row r="12" spans="1:2" ht="15.75">
      <c r="A12" s="45" t="s">
        <v>49</v>
      </c>
      <c r="B12" s="46">
        <v>64.7</v>
      </c>
    </row>
    <row r="13" spans="1:2" ht="15.75">
      <c r="A13" s="45" t="s">
        <v>50</v>
      </c>
      <c r="B13" s="46">
        <v>89.2</v>
      </c>
    </row>
    <row r="14" spans="1:2" ht="15.75">
      <c r="A14" s="45" t="s">
        <v>51</v>
      </c>
      <c r="B14" s="46">
        <v>62.3</v>
      </c>
    </row>
    <row r="15" spans="1:2" ht="15.75">
      <c r="A15" s="45" t="s">
        <v>52</v>
      </c>
      <c r="B15" s="46">
        <v>68.8</v>
      </c>
    </row>
    <row r="16" spans="1:2" ht="15.75">
      <c r="A16" s="45" t="s">
        <v>53</v>
      </c>
      <c r="B16" s="46">
        <v>62.5</v>
      </c>
    </row>
    <row r="17" spans="1:2" ht="15.75">
      <c r="A17" s="45" t="s">
        <v>54</v>
      </c>
      <c r="B17" s="46">
        <v>89</v>
      </c>
    </row>
    <row r="18" spans="1:2" ht="15.75">
      <c r="A18" s="45" t="s">
        <v>55</v>
      </c>
      <c r="B18" s="46">
        <v>64.7</v>
      </c>
    </row>
    <row r="19" spans="1:2" ht="15.75">
      <c r="A19" s="45" t="s">
        <v>56</v>
      </c>
      <c r="B19" s="46">
        <v>72.8</v>
      </c>
    </row>
    <row r="20" spans="1:2" ht="15.75">
      <c r="A20" s="45" t="s">
        <v>57</v>
      </c>
      <c r="B20" s="46">
        <v>72.8</v>
      </c>
    </row>
    <row r="21" spans="1:2" ht="15.75">
      <c r="A21" s="45" t="s">
        <v>58</v>
      </c>
      <c r="B21" s="46">
        <v>78.8</v>
      </c>
    </row>
    <row r="22" spans="1:2" ht="15.75">
      <c r="A22" s="45" t="s">
        <v>59</v>
      </c>
      <c r="B22" s="46">
        <v>64.900000000000006</v>
      </c>
    </row>
    <row r="23" spans="1:2" ht="15.75">
      <c r="A23" s="45" t="s">
        <v>60</v>
      </c>
      <c r="B23" s="46">
        <v>72.8</v>
      </c>
    </row>
    <row r="24" spans="1:2" ht="15.75">
      <c r="A24" s="45" t="s">
        <v>61</v>
      </c>
      <c r="B24" s="46">
        <v>64.7</v>
      </c>
    </row>
    <row r="25" spans="1:2" ht="15.75">
      <c r="A25" s="45"/>
      <c r="B25" s="50"/>
    </row>
    <row r="26" spans="1:2" ht="15.75">
      <c r="A26" s="47" t="s">
        <v>62</v>
      </c>
      <c r="B26" s="46">
        <f>SUM(B8:B24)</f>
        <v>1215.5999999999999</v>
      </c>
    </row>
    <row r="29" spans="1:2" ht="15" customHeight="1">
      <c r="A29" s="35" t="s">
        <v>39</v>
      </c>
      <c r="B29" s="5"/>
    </row>
    <row r="30" spans="1:2" ht="31.5" customHeight="1">
      <c r="A30" s="36" t="s">
        <v>40</v>
      </c>
      <c r="B30" s="37" t="s">
        <v>41</v>
      </c>
    </row>
    <row r="31" spans="1:2">
      <c r="A31" s="51"/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E9" sqref="E9"/>
    </sheetView>
  </sheetViews>
  <sheetFormatPr defaultRowHeight="12.75"/>
  <cols>
    <col min="1" max="1" width="36.28515625" customWidth="1"/>
    <col min="2" max="2" width="25.5703125" customWidth="1"/>
    <col min="3" max="3" width="20.7109375" customWidth="1"/>
  </cols>
  <sheetData>
    <row r="1" spans="1:3" ht="12" customHeight="1">
      <c r="B1" s="314" t="s">
        <v>347</v>
      </c>
      <c r="C1" s="314"/>
    </row>
    <row r="2" spans="1:3" ht="55.5" hidden="1" customHeight="1">
      <c r="B2" s="315" t="s">
        <v>42</v>
      </c>
      <c r="C2" s="315"/>
    </row>
    <row r="3" spans="1:3" ht="73.5" customHeight="1">
      <c r="A3" s="311" t="s">
        <v>244</v>
      </c>
      <c r="B3" s="311"/>
      <c r="C3" s="311"/>
    </row>
    <row r="4" spans="1:3" ht="15.75">
      <c r="A4" s="38"/>
    </row>
    <row r="5" spans="1:3" ht="13.5" thickBot="1">
      <c r="B5" s="316" t="s">
        <v>43</v>
      </c>
      <c r="C5" s="316"/>
    </row>
    <row r="6" spans="1:3" ht="16.5" thickBot="1">
      <c r="A6" s="39" t="s">
        <v>44</v>
      </c>
      <c r="B6" s="40">
        <v>2015</v>
      </c>
      <c r="C6" s="41">
        <v>2016</v>
      </c>
    </row>
    <row r="7" spans="1:3" ht="15.75">
      <c r="A7" s="42"/>
      <c r="B7" s="43"/>
      <c r="C7" s="44"/>
    </row>
    <row r="8" spans="1:3" ht="15.75">
      <c r="A8" s="45" t="s">
        <v>45</v>
      </c>
      <c r="B8" s="46">
        <v>68.8</v>
      </c>
      <c r="C8" s="46">
        <v>68.8</v>
      </c>
    </row>
    <row r="9" spans="1:3" ht="15.75">
      <c r="A9" s="45" t="s">
        <v>46</v>
      </c>
      <c r="B9" s="46">
        <v>68.8</v>
      </c>
      <c r="C9" s="46">
        <v>68.8</v>
      </c>
    </row>
    <row r="10" spans="1:3" ht="15.75">
      <c r="A10" s="45" t="s">
        <v>47</v>
      </c>
      <c r="B10" s="46">
        <v>89.2</v>
      </c>
      <c r="C10" s="46">
        <v>89.2</v>
      </c>
    </row>
    <row r="11" spans="1:3" ht="15.75">
      <c r="A11" s="45" t="s">
        <v>48</v>
      </c>
      <c r="B11" s="46">
        <v>60.8</v>
      </c>
      <c r="C11" s="46">
        <v>60.8</v>
      </c>
    </row>
    <row r="12" spans="1:3" ht="15.75">
      <c r="A12" s="45" t="s">
        <v>49</v>
      </c>
      <c r="B12" s="46">
        <v>64.7</v>
      </c>
      <c r="C12" s="46">
        <v>64.7</v>
      </c>
    </row>
    <row r="13" spans="1:3" ht="15.75">
      <c r="A13" s="45" t="s">
        <v>50</v>
      </c>
      <c r="B13" s="46">
        <v>89.2</v>
      </c>
      <c r="C13" s="46">
        <v>89.2</v>
      </c>
    </row>
    <row r="14" spans="1:3" ht="15.75">
      <c r="A14" s="45" t="s">
        <v>51</v>
      </c>
      <c r="B14" s="46">
        <v>62.3</v>
      </c>
      <c r="C14" s="46">
        <v>62.3</v>
      </c>
    </row>
    <row r="15" spans="1:3" ht="15.75">
      <c r="A15" s="45" t="s">
        <v>52</v>
      </c>
      <c r="B15" s="46">
        <v>68.8</v>
      </c>
      <c r="C15" s="46">
        <v>68.8</v>
      </c>
    </row>
    <row r="16" spans="1:3" ht="15.75">
      <c r="A16" s="45" t="s">
        <v>53</v>
      </c>
      <c r="B16" s="46">
        <v>62.5</v>
      </c>
      <c r="C16" s="46">
        <v>62.5</v>
      </c>
    </row>
    <row r="17" spans="1:3" ht="15.75">
      <c r="A17" s="45" t="s">
        <v>54</v>
      </c>
      <c r="B17" s="46">
        <v>89</v>
      </c>
      <c r="C17" s="46">
        <v>89</v>
      </c>
    </row>
    <row r="18" spans="1:3" ht="15.75">
      <c r="A18" s="45" t="s">
        <v>55</v>
      </c>
      <c r="B18" s="46">
        <v>64.7</v>
      </c>
      <c r="C18" s="46">
        <v>64.7</v>
      </c>
    </row>
    <row r="19" spans="1:3" ht="15.75">
      <c r="A19" s="45" t="s">
        <v>56</v>
      </c>
      <c r="B19" s="46">
        <v>72.8</v>
      </c>
      <c r="C19" s="46">
        <v>72.8</v>
      </c>
    </row>
    <row r="20" spans="1:3" ht="15.75">
      <c r="A20" s="45" t="s">
        <v>57</v>
      </c>
      <c r="B20" s="46">
        <v>72.8</v>
      </c>
      <c r="C20" s="46">
        <v>72.8</v>
      </c>
    </row>
    <row r="21" spans="1:3" ht="15.75">
      <c r="A21" s="45" t="s">
        <v>58</v>
      </c>
      <c r="B21" s="46">
        <v>78.8</v>
      </c>
      <c r="C21" s="46">
        <v>78.8</v>
      </c>
    </row>
    <row r="22" spans="1:3" ht="15.75">
      <c r="A22" s="45" t="s">
        <v>59</v>
      </c>
      <c r="B22" s="46">
        <v>68.3</v>
      </c>
      <c r="C22" s="46">
        <v>68.3</v>
      </c>
    </row>
    <row r="23" spans="1:3" ht="15.75">
      <c r="A23" s="45" t="s">
        <v>60</v>
      </c>
      <c r="B23" s="46">
        <v>72.8</v>
      </c>
      <c r="C23" s="46">
        <v>72.8</v>
      </c>
    </row>
    <row r="24" spans="1:3" ht="15.75">
      <c r="A24" s="45" t="s">
        <v>61</v>
      </c>
      <c r="B24" s="46">
        <v>64.7</v>
      </c>
      <c r="C24" s="46">
        <v>64.7</v>
      </c>
    </row>
    <row r="25" spans="1:3" ht="15.75">
      <c r="A25" s="45"/>
      <c r="B25" s="46"/>
      <c r="C25" s="46"/>
    </row>
    <row r="26" spans="1:3" ht="15.75">
      <c r="A26" s="47" t="s">
        <v>62</v>
      </c>
      <c r="B26" s="46">
        <f>SUM(B8:B24)</f>
        <v>1219</v>
      </c>
      <c r="C26" s="46">
        <f>SUM(C8:C25)</f>
        <v>1219</v>
      </c>
    </row>
    <row r="29" spans="1:3" ht="15.75">
      <c r="A29" s="35" t="s">
        <v>39</v>
      </c>
      <c r="B29" s="5"/>
    </row>
    <row r="30" spans="1:3" ht="31.5">
      <c r="A30" s="36" t="s">
        <v>40</v>
      </c>
      <c r="B30" s="37"/>
      <c r="C30" s="37" t="s">
        <v>41</v>
      </c>
    </row>
  </sheetData>
  <mergeCells count="4">
    <mergeCell ref="B1:C1"/>
    <mergeCell ref="B2:C2"/>
    <mergeCell ref="A3:C3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opLeftCell="A10" workbookViewId="0">
      <selection activeCell="A29" sqref="A29"/>
    </sheetView>
  </sheetViews>
  <sheetFormatPr defaultRowHeight="12.75"/>
  <cols>
    <col min="1" max="1" width="47.5703125" customWidth="1"/>
    <col min="2" max="2" width="27" customWidth="1"/>
    <col min="3" max="3" width="19.140625" customWidth="1"/>
    <col min="4" max="4" width="18.5703125" customWidth="1"/>
    <col min="5" max="5" width="20.28515625" customWidth="1"/>
  </cols>
  <sheetData>
    <row r="1" spans="1:5" ht="12" customHeight="1">
      <c r="A1" s="1"/>
      <c r="B1" s="2"/>
      <c r="C1" s="1"/>
      <c r="D1" s="314" t="s">
        <v>0</v>
      </c>
      <c r="E1" s="314"/>
    </row>
    <row r="2" spans="1:5" ht="43.5" hidden="1" customHeight="1">
      <c r="A2" s="3"/>
      <c r="B2" s="4"/>
      <c r="C2" s="4"/>
      <c r="D2" s="315" t="s">
        <v>1</v>
      </c>
      <c r="E2" s="315"/>
    </row>
    <row r="3" spans="1:5">
      <c r="A3" s="314"/>
      <c r="B3" s="314"/>
    </row>
    <row r="4" spans="1:5">
      <c r="A4" s="5"/>
      <c r="B4" s="5"/>
    </row>
    <row r="5" spans="1:5" ht="31.5" customHeight="1">
      <c r="A5" s="317" t="s">
        <v>245</v>
      </c>
      <c r="B5" s="317"/>
      <c r="C5" s="317"/>
      <c r="D5" s="317"/>
      <c r="E5" s="317"/>
    </row>
    <row r="6" spans="1:5" ht="15.75">
      <c r="A6" s="317"/>
      <c r="B6" s="317"/>
    </row>
    <row r="7" spans="1:5" ht="16.5" thickBot="1">
      <c r="A7" s="6"/>
      <c r="B7" s="6"/>
      <c r="C7" s="318" t="s">
        <v>2</v>
      </c>
      <c r="D7" s="318"/>
      <c r="E7" s="318"/>
    </row>
    <row r="8" spans="1:5" ht="15.75">
      <c r="A8" s="7" t="s">
        <v>3</v>
      </c>
      <c r="B8" s="8" t="s">
        <v>4</v>
      </c>
      <c r="C8" s="319">
        <v>2014</v>
      </c>
      <c r="D8" s="319">
        <v>2015</v>
      </c>
      <c r="E8" s="319">
        <v>2016</v>
      </c>
    </row>
    <row r="9" spans="1:5" ht="16.5" thickBot="1">
      <c r="A9" s="9" t="s">
        <v>5</v>
      </c>
      <c r="B9" s="10" t="s">
        <v>5</v>
      </c>
      <c r="C9" s="320"/>
      <c r="D9" s="320"/>
      <c r="E9" s="320"/>
    </row>
    <row r="10" spans="1:5">
      <c r="A10" s="11" t="s">
        <v>6</v>
      </c>
      <c r="B10" s="12"/>
      <c r="C10" s="13"/>
    </row>
    <row r="11" spans="1:5" ht="15.75">
      <c r="A11" s="11" t="s">
        <v>7</v>
      </c>
      <c r="B11" s="14" t="s">
        <v>8</v>
      </c>
      <c r="C11" s="15">
        <v>0</v>
      </c>
      <c r="D11" s="15">
        <v>0</v>
      </c>
      <c r="E11" s="15">
        <v>0</v>
      </c>
    </row>
    <row r="12" spans="1:5">
      <c r="A12" s="11"/>
      <c r="B12" s="14"/>
      <c r="C12" s="16"/>
      <c r="D12" s="16"/>
      <c r="E12" s="16"/>
    </row>
    <row r="13" spans="1:5" ht="25.5">
      <c r="A13" s="17" t="s">
        <v>9</v>
      </c>
      <c r="B13" s="18" t="s">
        <v>10</v>
      </c>
      <c r="C13" s="19">
        <f>C19-C15</f>
        <v>0</v>
      </c>
      <c r="D13" s="19">
        <f>D19-D15</f>
        <v>0</v>
      </c>
      <c r="E13" s="19">
        <f>E19-E15</f>
        <v>0</v>
      </c>
    </row>
    <row r="14" spans="1:5">
      <c r="A14" s="20" t="s">
        <v>11</v>
      </c>
      <c r="B14" s="21" t="s">
        <v>12</v>
      </c>
      <c r="C14" s="22">
        <f t="shared" ref="C14:E15" si="0">C15</f>
        <v>519553.57</v>
      </c>
      <c r="D14" s="22">
        <f t="shared" si="0"/>
        <v>531690.88</v>
      </c>
      <c r="E14" s="22">
        <f t="shared" si="0"/>
        <v>546460.61</v>
      </c>
    </row>
    <row r="15" spans="1:5">
      <c r="A15" s="20" t="s">
        <v>13</v>
      </c>
      <c r="B15" s="21" t="s">
        <v>14</v>
      </c>
      <c r="C15" s="23">
        <f t="shared" si="0"/>
        <v>519553.57</v>
      </c>
      <c r="D15" s="23">
        <f t="shared" si="0"/>
        <v>531690.88</v>
      </c>
      <c r="E15" s="23">
        <f t="shared" si="0"/>
        <v>546460.61</v>
      </c>
    </row>
    <row r="16" spans="1:5" ht="25.5">
      <c r="A16" s="24" t="s">
        <v>15</v>
      </c>
      <c r="B16" s="21" t="s">
        <v>16</v>
      </c>
      <c r="C16" s="23">
        <f>C17</f>
        <v>519553.57</v>
      </c>
      <c r="D16" s="23">
        <f>D18</f>
        <v>531690.88</v>
      </c>
      <c r="E16" s="23">
        <f>E18</f>
        <v>546460.61</v>
      </c>
    </row>
    <row r="17" spans="1:5" ht="25.5">
      <c r="A17" s="24" t="s">
        <v>17</v>
      </c>
      <c r="B17" s="21" t="s">
        <v>18</v>
      </c>
      <c r="C17" s="23">
        <v>519553.57</v>
      </c>
      <c r="D17" s="23">
        <f>D21</f>
        <v>531690.88</v>
      </c>
      <c r="E17" s="23">
        <f>E21</f>
        <v>546460.61</v>
      </c>
    </row>
    <row r="18" spans="1:5">
      <c r="A18" s="20" t="s">
        <v>19</v>
      </c>
      <c r="B18" s="21" t="s">
        <v>20</v>
      </c>
      <c r="C18" s="23">
        <f>C22</f>
        <v>518758.97</v>
      </c>
      <c r="D18" s="23">
        <f>D21</f>
        <v>531690.88</v>
      </c>
      <c r="E18" s="23">
        <f>E21</f>
        <v>546460.61</v>
      </c>
    </row>
    <row r="19" spans="1:5">
      <c r="A19" s="20" t="s">
        <v>21</v>
      </c>
      <c r="B19" s="21" t="s">
        <v>22</v>
      </c>
      <c r="C19" s="22">
        <f t="shared" ref="C19:E20" si="1">C20</f>
        <v>519553.57</v>
      </c>
      <c r="D19" s="22">
        <f t="shared" si="1"/>
        <v>531690.88</v>
      </c>
      <c r="E19" s="22">
        <f t="shared" si="1"/>
        <v>546460.61</v>
      </c>
    </row>
    <row r="20" spans="1:5" ht="25.5">
      <c r="A20" s="24" t="s">
        <v>23</v>
      </c>
      <c r="B20" s="21" t="s">
        <v>24</v>
      </c>
      <c r="C20" s="23">
        <f t="shared" si="1"/>
        <v>519553.57</v>
      </c>
      <c r="D20" s="23">
        <f t="shared" si="1"/>
        <v>531690.88</v>
      </c>
      <c r="E20" s="23">
        <f t="shared" si="1"/>
        <v>546460.61</v>
      </c>
    </row>
    <row r="21" spans="1:5" ht="25.5">
      <c r="A21" s="24" t="s">
        <v>25</v>
      </c>
      <c r="B21" s="21" t="s">
        <v>26</v>
      </c>
      <c r="C21" s="23">
        <v>519553.57</v>
      </c>
      <c r="D21" s="23">
        <v>531690.88</v>
      </c>
      <c r="E21" s="23">
        <v>546460.61</v>
      </c>
    </row>
    <row r="22" spans="1:5" ht="38.25" hidden="1">
      <c r="A22" s="25" t="s">
        <v>27</v>
      </c>
      <c r="B22" s="26" t="s">
        <v>28</v>
      </c>
      <c r="C22" s="16">
        <v>518758.97</v>
      </c>
      <c r="D22" s="23">
        <v>530869.38</v>
      </c>
      <c r="E22" s="16">
        <v>544919.01</v>
      </c>
    </row>
    <row r="23" spans="1:5" ht="89.25" hidden="1">
      <c r="A23" s="28" t="s">
        <v>29</v>
      </c>
      <c r="B23" s="29" t="s">
        <v>30</v>
      </c>
      <c r="C23" s="27">
        <f t="shared" ref="C23:E24" si="2">C24</f>
        <v>-5000</v>
      </c>
      <c r="D23" s="27">
        <f t="shared" si="2"/>
        <v>-5000</v>
      </c>
      <c r="E23" s="27">
        <f t="shared" si="2"/>
        <v>-5000</v>
      </c>
    </row>
    <row r="24" spans="1:5" ht="102" hidden="1">
      <c r="A24" s="28" t="s">
        <v>31</v>
      </c>
      <c r="B24" s="29" t="s">
        <v>32</v>
      </c>
      <c r="C24" s="30">
        <f t="shared" si="2"/>
        <v>-5000</v>
      </c>
      <c r="D24" s="30">
        <f t="shared" si="2"/>
        <v>-5000</v>
      </c>
      <c r="E24" s="30">
        <f t="shared" si="2"/>
        <v>-5000</v>
      </c>
    </row>
    <row r="25" spans="1:5" ht="25.5" hidden="1">
      <c r="A25" s="31" t="s">
        <v>33</v>
      </c>
      <c r="B25" s="26" t="s">
        <v>34</v>
      </c>
      <c r="C25" s="30">
        <v>-5000</v>
      </c>
      <c r="D25" s="30">
        <v>-5000</v>
      </c>
      <c r="E25" s="30">
        <v>-5000</v>
      </c>
    </row>
    <row r="26" spans="1:5" ht="25.5" hidden="1">
      <c r="A26" s="33" t="s">
        <v>35</v>
      </c>
      <c r="B26" s="29" t="s">
        <v>36</v>
      </c>
      <c r="C26" s="32">
        <f t="shared" ref="C26:E27" si="3">C27</f>
        <v>5000</v>
      </c>
      <c r="D26" s="32">
        <f t="shared" si="3"/>
        <v>5000</v>
      </c>
      <c r="E26" s="32">
        <f t="shared" si="3"/>
        <v>5000</v>
      </c>
    </row>
    <row r="27" spans="1:5" ht="38.25" hidden="1">
      <c r="A27" s="33" t="s">
        <v>37</v>
      </c>
      <c r="B27" s="29" t="s">
        <v>38</v>
      </c>
      <c r="C27" s="34">
        <f t="shared" si="3"/>
        <v>5000</v>
      </c>
      <c r="D27" s="34">
        <f t="shared" si="3"/>
        <v>5000</v>
      </c>
      <c r="E27" s="34">
        <f t="shared" si="3"/>
        <v>5000</v>
      </c>
    </row>
    <row r="28" spans="1:5" hidden="1">
      <c r="C28" s="34">
        <v>5000</v>
      </c>
      <c r="D28" s="34">
        <v>5000</v>
      </c>
      <c r="E28" s="34">
        <v>5000</v>
      </c>
    </row>
    <row r="29" spans="1:5" ht="26.25" customHeight="1">
      <c r="A29" s="35" t="s">
        <v>39</v>
      </c>
      <c r="B29" s="5"/>
      <c r="C29" s="16"/>
    </row>
    <row r="30" spans="1:5" ht="31.5">
      <c r="A30" s="36" t="s">
        <v>40</v>
      </c>
      <c r="B30" s="37"/>
    </row>
    <row r="31" spans="1:5" ht="15.75">
      <c r="C31" s="37" t="s">
        <v>41</v>
      </c>
    </row>
  </sheetData>
  <mergeCells count="9">
    <mergeCell ref="D1:E1"/>
    <mergeCell ref="D2:E2"/>
    <mergeCell ref="A3:B3"/>
    <mergeCell ref="A5:E5"/>
    <mergeCell ref="A6:B6"/>
    <mergeCell ref="C7:E7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27"/>
  <sheetViews>
    <sheetView workbookViewId="0">
      <selection sqref="A1:U27"/>
    </sheetView>
  </sheetViews>
  <sheetFormatPr defaultRowHeight="12.75"/>
  <cols>
    <col min="1" max="1" width="16.85546875" customWidth="1"/>
    <col min="3" max="3" width="10.7109375" customWidth="1"/>
    <col min="8" max="8" width="10.140625" customWidth="1"/>
  </cols>
  <sheetData>
    <row r="2" spans="1:21">
      <c r="A2" s="124" t="s">
        <v>250</v>
      </c>
    </row>
    <row r="3" spans="1:21" ht="178.5">
      <c r="A3" s="125" t="s">
        <v>251</v>
      </c>
      <c r="B3" s="125" t="s">
        <v>252</v>
      </c>
      <c r="C3" s="125" t="s">
        <v>253</v>
      </c>
      <c r="D3" s="125" t="s">
        <v>254</v>
      </c>
      <c r="E3" s="126" t="s">
        <v>255</v>
      </c>
      <c r="F3" s="125" t="s">
        <v>256</v>
      </c>
      <c r="G3" s="125" t="s">
        <v>257</v>
      </c>
      <c r="H3" s="125" t="s">
        <v>258</v>
      </c>
      <c r="I3" s="125" t="s">
        <v>259</v>
      </c>
      <c r="J3" s="126" t="s">
        <v>260</v>
      </c>
      <c r="K3" s="125" t="s">
        <v>261</v>
      </c>
      <c r="L3" s="125" t="s">
        <v>262</v>
      </c>
      <c r="M3" s="127" t="s">
        <v>263</v>
      </c>
      <c r="N3" s="126" t="s">
        <v>264</v>
      </c>
      <c r="O3" s="126" t="s">
        <v>265</v>
      </c>
      <c r="P3" s="125" t="s">
        <v>266</v>
      </c>
      <c r="Q3" s="126" t="s">
        <v>267</v>
      </c>
      <c r="R3" s="125" t="s">
        <v>268</v>
      </c>
      <c r="S3" s="127" t="s">
        <v>269</v>
      </c>
      <c r="T3" s="127" t="s">
        <v>270</v>
      </c>
      <c r="U3" s="127" t="s">
        <v>271</v>
      </c>
    </row>
    <row r="4" spans="1:21">
      <c r="A4" s="128" t="s">
        <v>272</v>
      </c>
      <c r="B4" s="128">
        <v>947</v>
      </c>
      <c r="C4" s="129">
        <v>589</v>
      </c>
      <c r="D4" s="129">
        <v>0</v>
      </c>
      <c r="E4" s="130">
        <f>B4/B$22*E$22</f>
        <v>7.0205258368852066</v>
      </c>
      <c r="F4" s="129">
        <f t="shared" ref="F4:F21" si="0">C4+E4</f>
        <v>596.02052583688521</v>
      </c>
      <c r="G4" s="129" t="e">
        <f>#REF!</f>
        <v>#REF!</v>
      </c>
      <c r="H4" s="129" t="e">
        <f t="shared" ref="H4:H21" si="1">C4-G4</f>
        <v>#REF!</v>
      </c>
      <c r="I4" s="129" t="e">
        <f t="shared" ref="I4:I21" si="2">F4-G4</f>
        <v>#REF!</v>
      </c>
      <c r="J4" s="131"/>
      <c r="K4" s="131" t="e">
        <f t="shared" ref="K4:K21" si="3">I4-J4</f>
        <v>#REF!</v>
      </c>
      <c r="L4" s="132" t="e">
        <f t="shared" ref="L4:L21" si="4">(G4/B4)/(G$21/B$21)</f>
        <v>#REF!</v>
      </c>
      <c r="M4" s="132" t="e">
        <f t="shared" ref="M4:M21" si="5">(C4/B4)/(C$21/B$21*L4)</f>
        <v>#REF!</v>
      </c>
      <c r="N4" s="133" t="e">
        <f t="shared" ref="N4:N21" si="6">IF((U$21-(C4/B4)/(C$21/B$21*L4))&gt;0,(U$21-(C4/B4)/(C$21/B$21*L4))*B4*L4*C$21/B$21,0)</f>
        <v>#REF!</v>
      </c>
      <c r="O4" s="133" t="e">
        <f>N4+E4</f>
        <v>#REF!</v>
      </c>
      <c r="P4" s="133" t="e">
        <f t="shared" ref="P4:P21" si="7">K4+N4</f>
        <v>#REF!</v>
      </c>
      <c r="Q4" s="133" t="e">
        <f>IF(-P4&lt;0,0,-P4)</f>
        <v>#REF!</v>
      </c>
      <c r="R4" s="133" t="e">
        <f t="shared" ref="R4:R21" si="8">P4+Q4</f>
        <v>#REF!</v>
      </c>
      <c r="S4" s="131" t="e">
        <f t="shared" ref="S4:S21" si="9">R4/(C4)*100</f>
        <v>#REF!</v>
      </c>
      <c r="T4" s="134" t="e">
        <f>IF((K4/C4)&lt;0,(-K4),0)</f>
        <v>#REF!</v>
      </c>
      <c r="U4" s="134" t="e">
        <f t="shared" ref="U4:U21" si="10">IF(T4&lt;0,1000000,T4*B$21/(B4*L4*C$21)+(C4/B4)/(C$21/B$21*L4))</f>
        <v>#REF!</v>
      </c>
    </row>
    <row r="5" spans="1:21">
      <c r="A5" s="128" t="s">
        <v>273</v>
      </c>
      <c r="B5" s="128">
        <v>751</v>
      </c>
      <c r="C5" s="129">
        <v>513</v>
      </c>
      <c r="D5" s="129">
        <v>0</v>
      </c>
      <c r="E5" s="130">
        <f t="shared" ref="E5:E21" si="11">B5/B$22*E$22</f>
        <v>5.5674919783535284</v>
      </c>
      <c r="F5" s="129">
        <f t="shared" si="0"/>
        <v>518.56749197835347</v>
      </c>
      <c r="G5" s="129">
        <f>[1]Лист2!V7</f>
        <v>3391.7</v>
      </c>
      <c r="H5" s="129">
        <f t="shared" si="1"/>
        <v>-2878.7</v>
      </c>
      <c r="I5" s="129">
        <f t="shared" si="2"/>
        <v>-2873.1325080216466</v>
      </c>
      <c r="J5" s="131"/>
      <c r="K5" s="131">
        <f t="shared" si="3"/>
        <v>-2873.1325080216466</v>
      </c>
      <c r="L5" s="132">
        <f t="shared" si="4"/>
        <v>2.962844130441657E-2</v>
      </c>
      <c r="M5" s="132">
        <f t="shared" si="5"/>
        <v>27.23876961737259</v>
      </c>
      <c r="N5" s="133">
        <f t="shared" si="6"/>
        <v>2878.5350438907062</v>
      </c>
      <c r="O5" s="133">
        <f t="shared" ref="O5:O21" si="12">N5+E5</f>
        <v>2884.1025358690599</v>
      </c>
      <c r="P5" s="133">
        <f t="shared" si="7"/>
        <v>5.4025358690596477</v>
      </c>
      <c r="Q5" s="133">
        <f t="shared" ref="Q5:Q21" si="13">IF(-P5&lt;0,0,-P5)</f>
        <v>0</v>
      </c>
      <c r="R5" s="133">
        <f t="shared" si="8"/>
        <v>5.4025358690596477</v>
      </c>
      <c r="S5" s="131">
        <f t="shared" si="9"/>
        <v>1.0531259004014908</v>
      </c>
      <c r="T5" s="134">
        <f t="shared" ref="T5:T21" si="14">IF((K5/C5)&lt;0,(-K5),0)</f>
        <v>2873.1325080216466</v>
      </c>
      <c r="U5" s="134">
        <f t="shared" si="10"/>
        <v>179.79353465866993</v>
      </c>
    </row>
    <row r="6" spans="1:21">
      <c r="A6" s="128" t="s">
        <v>274</v>
      </c>
      <c r="B6" s="128">
        <v>1241</v>
      </c>
      <c r="C6" s="129">
        <v>1095</v>
      </c>
      <c r="D6" s="129">
        <v>0</v>
      </c>
      <c r="E6" s="130">
        <f t="shared" si="11"/>
        <v>9.2000766246827279</v>
      </c>
      <c r="F6" s="129">
        <f t="shared" si="0"/>
        <v>1104.2000766246827</v>
      </c>
      <c r="G6" s="129">
        <f>[1]Лист2!V8</f>
        <v>1978.5</v>
      </c>
      <c r="H6" s="129">
        <f t="shared" si="1"/>
        <v>-883.5</v>
      </c>
      <c r="I6" s="129">
        <f t="shared" si="2"/>
        <v>-874.29992337531735</v>
      </c>
      <c r="J6" s="131"/>
      <c r="K6" s="131">
        <f t="shared" si="3"/>
        <v>-874.29992337531735</v>
      </c>
      <c r="L6" s="132">
        <f t="shared" si="4"/>
        <v>1.0459130538464539E-2</v>
      </c>
      <c r="M6" s="132">
        <f t="shared" si="5"/>
        <v>99.670266010500455</v>
      </c>
      <c r="N6" s="133">
        <f t="shared" si="6"/>
        <v>883.40377519761842</v>
      </c>
      <c r="O6" s="133">
        <f t="shared" si="12"/>
        <v>892.60385182230118</v>
      </c>
      <c r="P6" s="133">
        <f t="shared" si="7"/>
        <v>9.1038518223010669</v>
      </c>
      <c r="Q6" s="133">
        <f t="shared" si="13"/>
        <v>0</v>
      </c>
      <c r="R6" s="133">
        <f t="shared" si="8"/>
        <v>9.1038518223010669</v>
      </c>
      <c r="S6" s="131">
        <f t="shared" si="9"/>
        <v>0.83140199290420691</v>
      </c>
      <c r="T6" s="134">
        <f t="shared" si="14"/>
        <v>874.29992337531735</v>
      </c>
      <c r="U6" s="134">
        <f t="shared" si="10"/>
        <v>179.25173261851694</v>
      </c>
    </row>
    <row r="7" spans="1:21">
      <c r="A7" s="128" t="s">
        <v>275</v>
      </c>
      <c r="B7" s="128">
        <v>479</v>
      </c>
      <c r="C7" s="129">
        <v>470</v>
      </c>
      <c r="D7" s="129">
        <v>0</v>
      </c>
      <c r="E7" s="130">
        <f t="shared" si="11"/>
        <v>3.5510368277381352</v>
      </c>
      <c r="F7" s="129">
        <f t="shared" si="0"/>
        <v>473.55103682773813</v>
      </c>
      <c r="G7" s="129">
        <f>[1]Лист2!V9</f>
        <v>2131.6</v>
      </c>
      <c r="H7" s="129">
        <f t="shared" si="1"/>
        <v>-1661.6</v>
      </c>
      <c r="I7" s="129">
        <f t="shared" si="2"/>
        <v>-1658.0489631722617</v>
      </c>
      <c r="J7" s="131"/>
      <c r="K7" s="131">
        <f t="shared" si="3"/>
        <v>-1658.0489631722617</v>
      </c>
      <c r="L7" s="132">
        <f t="shared" si="4"/>
        <v>2.9194531374949439E-2</v>
      </c>
      <c r="M7" s="132">
        <f t="shared" si="5"/>
        <v>39.708154147434144</v>
      </c>
      <c r="N7" s="133">
        <f t="shared" si="6"/>
        <v>1661.496329143919</v>
      </c>
      <c r="O7" s="133">
        <f t="shared" si="12"/>
        <v>1665.0473659716572</v>
      </c>
      <c r="P7" s="133">
        <f t="shared" si="7"/>
        <v>3.4473659716572911</v>
      </c>
      <c r="Q7" s="133">
        <f t="shared" si="13"/>
        <v>0</v>
      </c>
      <c r="R7" s="133">
        <f t="shared" si="8"/>
        <v>3.4473659716572911</v>
      </c>
      <c r="S7" s="131">
        <f t="shared" si="9"/>
        <v>0.73348212162921089</v>
      </c>
      <c r="T7" s="134">
        <f t="shared" si="14"/>
        <v>1658.0489631722617</v>
      </c>
      <c r="U7" s="134">
        <f t="shared" si="10"/>
        <v>179.7891409849608</v>
      </c>
    </row>
    <row r="8" spans="1:21">
      <c r="A8" s="128" t="s">
        <v>276</v>
      </c>
      <c r="B8" s="128">
        <v>572</v>
      </c>
      <c r="C8" s="129">
        <v>2695</v>
      </c>
      <c r="D8" s="129">
        <v>0</v>
      </c>
      <c r="E8" s="130">
        <f t="shared" si="11"/>
        <v>4.24048656673531</v>
      </c>
      <c r="F8" s="129">
        <f t="shared" si="0"/>
        <v>2699.2404865667354</v>
      </c>
      <c r="G8" s="129">
        <f>[1]Лист2!V10</f>
        <v>2052.3000000000002</v>
      </c>
      <c r="H8" s="129">
        <f t="shared" si="1"/>
        <v>642.69999999999982</v>
      </c>
      <c r="I8" s="129">
        <f t="shared" si="2"/>
        <v>646.94048656673522</v>
      </c>
      <c r="J8" s="131"/>
      <c r="K8" s="131">
        <f t="shared" si="3"/>
        <v>646.94048656673522</v>
      </c>
      <c r="L8" s="132">
        <f t="shared" si="4"/>
        <v>2.3538355983003169E-2</v>
      </c>
      <c r="M8" s="132">
        <f t="shared" si="5"/>
        <v>236.4860226574101</v>
      </c>
      <c r="N8" s="133">
        <f t="shared" si="6"/>
        <v>0</v>
      </c>
      <c r="O8" s="133">
        <f t="shared" si="12"/>
        <v>4.24048656673531</v>
      </c>
      <c r="P8" s="133">
        <f t="shared" si="7"/>
        <v>646.94048656673522</v>
      </c>
      <c r="Q8" s="133">
        <f t="shared" si="13"/>
        <v>0</v>
      </c>
      <c r="R8" s="133">
        <f t="shared" si="8"/>
        <v>646.94048656673522</v>
      </c>
      <c r="S8" s="131">
        <f t="shared" si="9"/>
        <v>24.005212859619117</v>
      </c>
      <c r="T8" s="134">
        <f t="shared" si="14"/>
        <v>0</v>
      </c>
      <c r="U8" s="134">
        <f t="shared" si="10"/>
        <v>236.4860226574101</v>
      </c>
    </row>
    <row r="9" spans="1:21">
      <c r="A9" s="128" t="s">
        <v>277</v>
      </c>
      <c r="B9" s="128">
        <v>703</v>
      </c>
      <c r="C9" s="129">
        <v>629</v>
      </c>
      <c r="D9" s="129">
        <v>0</v>
      </c>
      <c r="E9" s="130">
        <f t="shared" si="11"/>
        <v>5.2116469517743411</v>
      </c>
      <c r="F9" s="129">
        <f t="shared" si="0"/>
        <v>634.21164695177436</v>
      </c>
      <c r="G9" s="129">
        <f>[1]Лист2!V11</f>
        <v>3303.7</v>
      </c>
      <c r="H9" s="129">
        <f t="shared" si="1"/>
        <v>-2674.7</v>
      </c>
      <c r="I9" s="129">
        <f t="shared" si="2"/>
        <v>-2669.4883530482257</v>
      </c>
      <c r="J9" s="131"/>
      <c r="K9" s="131">
        <f t="shared" si="3"/>
        <v>-2669.4883530482257</v>
      </c>
      <c r="L9" s="132">
        <f t="shared" si="4"/>
        <v>3.0830217500913835E-2</v>
      </c>
      <c r="M9" s="132">
        <f t="shared" si="5"/>
        <v>34.28764007888114</v>
      </c>
      <c r="N9" s="133">
        <f t="shared" si="6"/>
        <v>2674.5393237909384</v>
      </c>
      <c r="O9" s="133">
        <f t="shared" si="12"/>
        <v>2679.7509707427125</v>
      </c>
      <c r="P9" s="133">
        <f t="shared" si="7"/>
        <v>5.0509707427127069</v>
      </c>
      <c r="Q9" s="133">
        <f t="shared" si="13"/>
        <v>0</v>
      </c>
      <c r="R9" s="133">
        <f t="shared" si="8"/>
        <v>5.0509707427127069</v>
      </c>
      <c r="S9" s="131">
        <f t="shared" si="9"/>
        <v>0.80301601632952413</v>
      </c>
      <c r="T9" s="134">
        <f t="shared" si="14"/>
        <v>2669.4883530482257</v>
      </c>
      <c r="U9" s="134">
        <f t="shared" si="10"/>
        <v>179.80505795500633</v>
      </c>
    </row>
    <row r="10" spans="1:21">
      <c r="A10" s="128" t="s">
        <v>278</v>
      </c>
      <c r="B10" s="128">
        <v>1681</v>
      </c>
      <c r="C10" s="129">
        <v>1052.7</v>
      </c>
      <c r="D10" s="129">
        <v>0</v>
      </c>
      <c r="E10" s="130">
        <f t="shared" si="11"/>
        <v>12.461989368325272</v>
      </c>
      <c r="F10" s="129">
        <f t="shared" si="0"/>
        <v>1065.1619893683253</v>
      </c>
      <c r="G10" s="129">
        <f>[1]Лист2!V12</f>
        <v>2557.2000000000003</v>
      </c>
      <c r="H10" s="129">
        <f t="shared" si="1"/>
        <v>-1504.5000000000002</v>
      </c>
      <c r="I10" s="129">
        <f t="shared" si="2"/>
        <v>-1492.038010631675</v>
      </c>
      <c r="J10" s="131"/>
      <c r="K10" s="131">
        <f t="shared" si="3"/>
        <v>-1492.038010631675</v>
      </c>
      <c r="L10" s="132">
        <f t="shared" si="4"/>
        <v>9.9799483257286044E-3</v>
      </c>
      <c r="M10" s="132">
        <f t="shared" si="5"/>
        <v>74.135714913778656</v>
      </c>
      <c r="N10" s="133">
        <f t="shared" si="6"/>
        <v>1504.3756299900683</v>
      </c>
      <c r="O10" s="133">
        <f t="shared" si="12"/>
        <v>1516.8376193583936</v>
      </c>
      <c r="P10" s="133">
        <f t="shared" si="7"/>
        <v>12.33761935839334</v>
      </c>
      <c r="Q10" s="133">
        <f t="shared" si="13"/>
        <v>0</v>
      </c>
      <c r="R10" s="133">
        <f t="shared" si="8"/>
        <v>12.33761935839334</v>
      </c>
      <c r="S10" s="131">
        <f t="shared" si="9"/>
        <v>1.1719976591995191</v>
      </c>
      <c r="T10" s="134">
        <f t="shared" si="14"/>
        <v>1492.038010631675</v>
      </c>
      <c r="U10" s="134">
        <f t="shared" si="10"/>
        <v>179.21152435304083</v>
      </c>
    </row>
    <row r="11" spans="1:21">
      <c r="A11" s="128" t="s">
        <v>279</v>
      </c>
      <c r="B11" s="128">
        <v>537</v>
      </c>
      <c r="C11" s="129">
        <v>463</v>
      </c>
      <c r="D11" s="129">
        <v>0</v>
      </c>
      <c r="E11" s="130">
        <f t="shared" si="11"/>
        <v>3.9810162348546529</v>
      </c>
      <c r="F11" s="129">
        <f t="shared" si="0"/>
        <v>466.98101623485468</v>
      </c>
      <c r="G11" s="129">
        <f>[1]Лист2!V13</f>
        <v>2677</v>
      </c>
      <c r="H11" s="129">
        <f t="shared" si="1"/>
        <v>-2214</v>
      </c>
      <c r="I11" s="129">
        <f t="shared" si="2"/>
        <v>-2210.0189837651451</v>
      </c>
      <c r="J11" s="131"/>
      <c r="K11" s="131">
        <f t="shared" si="3"/>
        <v>-2210.0189837651451</v>
      </c>
      <c r="L11" s="132">
        <f t="shared" si="4"/>
        <v>3.2704340498603691E-2</v>
      </c>
      <c r="M11" s="132">
        <f t="shared" si="5"/>
        <v>31.147283271406149</v>
      </c>
      <c r="N11" s="133">
        <f t="shared" si="6"/>
        <v>2213.8698034895247</v>
      </c>
      <c r="O11" s="133">
        <f t="shared" si="12"/>
        <v>2217.8508197243791</v>
      </c>
      <c r="P11" s="133">
        <f t="shared" si="7"/>
        <v>3.8508197243795621</v>
      </c>
      <c r="Q11" s="133">
        <f t="shared" si="13"/>
        <v>0</v>
      </c>
      <c r="R11" s="133">
        <f t="shared" si="8"/>
        <v>3.8508197243795621</v>
      </c>
      <c r="S11" s="131">
        <f t="shared" si="9"/>
        <v>0.83171052362409559</v>
      </c>
      <c r="T11" s="134">
        <f t="shared" si="14"/>
        <v>2210.0189837651451</v>
      </c>
      <c r="U11" s="134">
        <f t="shared" si="10"/>
        <v>179.82133796366986</v>
      </c>
    </row>
    <row r="12" spans="1:21">
      <c r="A12" s="128" t="s">
        <v>280</v>
      </c>
      <c r="B12" s="128">
        <v>1332</v>
      </c>
      <c r="C12" s="129">
        <v>827.7</v>
      </c>
      <c r="D12" s="129">
        <v>0</v>
      </c>
      <c r="E12" s="130">
        <f t="shared" si="11"/>
        <v>9.8746994875724354</v>
      </c>
      <c r="F12" s="129">
        <f t="shared" si="0"/>
        <v>837.5746994875725</v>
      </c>
      <c r="G12" s="129">
        <f>[1]Лист2!V14</f>
        <v>1744.8</v>
      </c>
      <c r="H12" s="129">
        <f t="shared" si="1"/>
        <v>-917.09999999999991</v>
      </c>
      <c r="I12" s="129">
        <f t="shared" si="2"/>
        <v>-907.22530051242745</v>
      </c>
      <c r="J12" s="131"/>
      <c r="K12" s="131">
        <f t="shared" si="3"/>
        <v>-907.22530051242745</v>
      </c>
      <c r="L12" s="132">
        <f t="shared" si="4"/>
        <v>8.5935525691421301E-3</v>
      </c>
      <c r="M12" s="132">
        <f t="shared" si="5"/>
        <v>85.430875175330797</v>
      </c>
      <c r="N12" s="133">
        <f t="shared" si="6"/>
        <v>917.01514125084884</v>
      </c>
      <c r="O12" s="133">
        <f t="shared" si="12"/>
        <v>926.8898407384213</v>
      </c>
      <c r="P12" s="133">
        <f t="shared" si="7"/>
        <v>9.7898407384213897</v>
      </c>
      <c r="Q12" s="133">
        <f t="shared" si="13"/>
        <v>0</v>
      </c>
      <c r="R12" s="133">
        <f t="shared" si="8"/>
        <v>9.7898407384213897</v>
      </c>
      <c r="S12" s="131">
        <f t="shared" si="9"/>
        <v>1.1827764574630169</v>
      </c>
      <c r="T12" s="134">
        <f t="shared" si="14"/>
        <v>907.22530051242745</v>
      </c>
      <c r="U12" s="134">
        <f t="shared" si="10"/>
        <v>179.06993691748272</v>
      </c>
    </row>
    <row r="13" spans="1:21">
      <c r="A13" s="128" t="s">
        <v>281</v>
      </c>
      <c r="B13" s="128">
        <v>640</v>
      </c>
      <c r="C13" s="129">
        <v>688</v>
      </c>
      <c r="D13" s="129">
        <v>0</v>
      </c>
      <c r="E13" s="130">
        <f t="shared" si="11"/>
        <v>4.7446003543891582</v>
      </c>
      <c r="F13" s="129">
        <f t="shared" si="0"/>
        <v>692.74460035438915</v>
      </c>
      <c r="G13" s="129">
        <f>[1]Лист2!V15</f>
        <v>3409.1000000000004</v>
      </c>
      <c r="H13" s="129">
        <f t="shared" si="1"/>
        <v>-2721.1000000000004</v>
      </c>
      <c r="I13" s="129">
        <f t="shared" si="2"/>
        <v>-2716.3553996456112</v>
      </c>
      <c r="J13" s="131"/>
      <c r="K13" s="131">
        <f t="shared" si="3"/>
        <v>-2716.3553996456112</v>
      </c>
      <c r="L13" s="132">
        <f t="shared" si="4"/>
        <v>3.4945485374874602E-2</v>
      </c>
      <c r="M13" s="132">
        <f t="shared" si="5"/>
        <v>36.344295118697559</v>
      </c>
      <c r="N13" s="133">
        <f t="shared" si="6"/>
        <v>2720.9341976377063</v>
      </c>
      <c r="O13" s="133">
        <f t="shared" si="12"/>
        <v>2725.6787979920955</v>
      </c>
      <c r="P13" s="133">
        <f t="shared" si="7"/>
        <v>4.5787979920951329</v>
      </c>
      <c r="Q13" s="133">
        <f t="shared" si="13"/>
        <v>0</v>
      </c>
      <c r="R13" s="133">
        <f t="shared" si="8"/>
        <v>4.5787979920951329</v>
      </c>
      <c r="S13" s="131">
        <f t="shared" si="9"/>
        <v>0.66552296396731581</v>
      </c>
      <c r="T13" s="134">
        <f t="shared" si="14"/>
        <v>2716.3553996456112</v>
      </c>
      <c r="U13" s="134">
        <f t="shared" si="10"/>
        <v>179.83851356635415</v>
      </c>
    </row>
    <row r="14" spans="1:21">
      <c r="A14" s="128" t="s">
        <v>282</v>
      </c>
      <c r="B14" s="128">
        <v>1099</v>
      </c>
      <c r="C14" s="129">
        <v>628</v>
      </c>
      <c r="D14" s="129">
        <v>0</v>
      </c>
      <c r="E14" s="130">
        <f t="shared" si="11"/>
        <v>8.1473684210526311</v>
      </c>
      <c r="F14" s="129">
        <f t="shared" si="0"/>
        <v>636.14736842105265</v>
      </c>
      <c r="G14" s="129">
        <f>[1]Лист2!V16</f>
        <v>2409.3000000000002</v>
      </c>
      <c r="H14" s="129">
        <f t="shared" si="1"/>
        <v>-1781.3000000000002</v>
      </c>
      <c r="I14" s="129">
        <f t="shared" si="2"/>
        <v>-1773.1526315789474</v>
      </c>
      <c r="J14" s="131"/>
      <c r="K14" s="131">
        <f t="shared" si="3"/>
        <v>-1773.1526315789474</v>
      </c>
      <c r="L14" s="132">
        <f t="shared" si="4"/>
        <v>1.438217266876721E-2</v>
      </c>
      <c r="M14" s="132">
        <f t="shared" si="5"/>
        <v>46.941430032260755</v>
      </c>
      <c r="N14" s="133">
        <f t="shared" si="6"/>
        <v>1781.1828231405723</v>
      </c>
      <c r="O14" s="133">
        <f t="shared" si="12"/>
        <v>1789.3301915616248</v>
      </c>
      <c r="P14" s="133">
        <f t="shared" si="7"/>
        <v>8.0301915616248607</v>
      </c>
      <c r="Q14" s="133">
        <f t="shared" si="13"/>
        <v>0</v>
      </c>
      <c r="R14" s="133">
        <f t="shared" si="8"/>
        <v>8.0301915616248607</v>
      </c>
      <c r="S14" s="131">
        <f t="shared" si="9"/>
        <v>1.2786929238256148</v>
      </c>
      <c r="T14" s="134">
        <f t="shared" si="14"/>
        <v>1773.1526315789474</v>
      </c>
      <c r="U14" s="134">
        <f t="shared" si="10"/>
        <v>179.48015645229611</v>
      </c>
    </row>
    <row r="15" spans="1:21">
      <c r="A15" s="128" t="s">
        <v>283</v>
      </c>
      <c r="B15" s="128">
        <v>695</v>
      </c>
      <c r="C15" s="129">
        <v>744</v>
      </c>
      <c r="D15" s="129">
        <v>0</v>
      </c>
      <c r="E15" s="130">
        <f t="shared" si="11"/>
        <v>5.1523394473444766</v>
      </c>
      <c r="F15" s="129">
        <f t="shared" si="0"/>
        <v>749.1523394473445</v>
      </c>
      <c r="G15" s="129">
        <f>[1]Лист2!V17</f>
        <v>2405.7000000000003</v>
      </c>
      <c r="H15" s="129">
        <f t="shared" si="1"/>
        <v>-1661.7000000000003</v>
      </c>
      <c r="I15" s="129">
        <f t="shared" si="2"/>
        <v>-1656.5476605526558</v>
      </c>
      <c r="J15" s="131"/>
      <c r="K15" s="131">
        <f t="shared" si="3"/>
        <v>-1656.5476605526558</v>
      </c>
      <c r="L15" s="132">
        <f t="shared" si="4"/>
        <v>2.2708475207366036E-2</v>
      </c>
      <c r="M15" s="132">
        <f t="shared" si="5"/>
        <v>55.695360599444165</v>
      </c>
      <c r="N15" s="133">
        <f t="shared" si="6"/>
        <v>1661.5829982274001</v>
      </c>
      <c r="O15" s="133">
        <f t="shared" si="12"/>
        <v>1666.7353376747446</v>
      </c>
      <c r="P15" s="133">
        <f t="shared" si="7"/>
        <v>5.035337674744369</v>
      </c>
      <c r="Q15" s="133">
        <f t="shared" si="13"/>
        <v>0</v>
      </c>
      <c r="R15" s="133">
        <f t="shared" si="8"/>
        <v>5.035337674744369</v>
      </c>
      <c r="S15" s="131">
        <f t="shared" si="9"/>
        <v>0.67679269821832921</v>
      </c>
      <c r="T15" s="134">
        <f t="shared" si="14"/>
        <v>1656.5476605526558</v>
      </c>
      <c r="U15" s="134">
        <f t="shared" si="10"/>
        <v>179.70345106267774</v>
      </c>
    </row>
    <row r="16" spans="1:21">
      <c r="A16" s="128" t="s">
        <v>284</v>
      </c>
      <c r="B16" s="128">
        <v>934</v>
      </c>
      <c r="C16" s="129">
        <v>955</v>
      </c>
      <c r="D16" s="129">
        <v>0</v>
      </c>
      <c r="E16" s="130">
        <f t="shared" si="11"/>
        <v>6.9241511421866768</v>
      </c>
      <c r="F16" s="129">
        <f t="shared" si="0"/>
        <v>961.9241511421867</v>
      </c>
      <c r="G16" s="129">
        <f>[1]Лист2!V18</f>
        <v>3784.1000000000004</v>
      </c>
      <c r="H16" s="129">
        <f t="shared" si="1"/>
        <v>-2829.1000000000004</v>
      </c>
      <c r="I16" s="129">
        <f t="shared" si="2"/>
        <v>-2822.1758488578134</v>
      </c>
      <c r="J16" s="131"/>
      <c r="K16" s="131">
        <f t="shared" si="3"/>
        <v>-2822.1758488578134</v>
      </c>
      <c r="L16" s="132">
        <f t="shared" si="4"/>
        <v>2.6579514186184108E-2</v>
      </c>
      <c r="M16" s="132">
        <f t="shared" si="5"/>
        <v>45.449417309121777</v>
      </c>
      <c r="N16" s="133">
        <f t="shared" si="6"/>
        <v>2828.9159594264897</v>
      </c>
      <c r="O16" s="133">
        <f t="shared" si="12"/>
        <v>2835.8401105686762</v>
      </c>
      <c r="P16" s="133">
        <f t="shared" si="7"/>
        <v>6.7401105686763003</v>
      </c>
      <c r="Q16" s="133">
        <f t="shared" si="13"/>
        <v>0</v>
      </c>
      <c r="R16" s="133">
        <f t="shared" si="8"/>
        <v>6.7401105686763003</v>
      </c>
      <c r="S16" s="131">
        <f t="shared" si="9"/>
        <v>0.70577074017552888</v>
      </c>
      <c r="T16" s="134">
        <f t="shared" si="14"/>
        <v>2822.1758488578134</v>
      </c>
      <c r="U16" s="134">
        <f t="shared" si="10"/>
        <v>179.75962450751311</v>
      </c>
    </row>
    <row r="17" spans="1:21">
      <c r="A17" s="128" t="s">
        <v>285</v>
      </c>
      <c r="B17" s="128">
        <f>252+788</f>
        <v>1040</v>
      </c>
      <c r="C17" s="129">
        <v>886</v>
      </c>
      <c r="D17" s="129">
        <v>0</v>
      </c>
      <c r="E17" s="130">
        <f t="shared" si="11"/>
        <v>7.7099755758823818</v>
      </c>
      <c r="F17" s="129">
        <f t="shared" si="0"/>
        <v>893.70997557588237</v>
      </c>
      <c r="G17" s="129">
        <f>[1]Лист2!V19</f>
        <v>1790.8</v>
      </c>
      <c r="H17" s="129">
        <f t="shared" si="1"/>
        <v>-904.8</v>
      </c>
      <c r="I17" s="129">
        <f t="shared" si="2"/>
        <v>-897.09002442411759</v>
      </c>
      <c r="J17" s="131"/>
      <c r="K17" s="131">
        <f t="shared" si="3"/>
        <v>-897.09002442411759</v>
      </c>
      <c r="L17" s="132">
        <f t="shared" si="4"/>
        <v>1.1296529913706154E-2</v>
      </c>
      <c r="M17" s="132">
        <f t="shared" si="5"/>
        <v>89.099278847530599</v>
      </c>
      <c r="N17" s="133">
        <f t="shared" si="6"/>
        <v>904.71290403027285</v>
      </c>
      <c r="O17" s="133">
        <f t="shared" si="12"/>
        <v>912.42287960615522</v>
      </c>
      <c r="P17" s="133">
        <f t="shared" si="7"/>
        <v>7.6228796061552657</v>
      </c>
      <c r="Q17" s="133">
        <f t="shared" si="13"/>
        <v>0</v>
      </c>
      <c r="R17" s="133">
        <f t="shared" si="8"/>
        <v>7.6228796061552657</v>
      </c>
      <c r="S17" s="131">
        <f t="shared" si="9"/>
        <v>0.86037015870826927</v>
      </c>
      <c r="T17" s="134">
        <f t="shared" si="14"/>
        <v>897.09002442411759</v>
      </c>
      <c r="U17" s="134">
        <f t="shared" si="10"/>
        <v>179.31380958963274</v>
      </c>
    </row>
    <row r="18" spans="1:21">
      <c r="A18" s="128" t="s">
        <v>286</v>
      </c>
      <c r="B18" s="128">
        <v>536</v>
      </c>
      <c r="C18" s="129">
        <v>438.6</v>
      </c>
      <c r="D18" s="129">
        <v>0</v>
      </c>
      <c r="E18" s="130">
        <f t="shared" si="11"/>
        <v>3.97360279680092</v>
      </c>
      <c r="F18" s="129">
        <f t="shared" si="0"/>
        <v>442.57360279680097</v>
      </c>
      <c r="G18" s="129">
        <f>[1]Лист2!V20</f>
        <v>2386.9</v>
      </c>
      <c r="H18" s="129">
        <f t="shared" si="1"/>
        <v>-1948.3000000000002</v>
      </c>
      <c r="I18" s="129">
        <f t="shared" si="2"/>
        <v>-1944.3263972031991</v>
      </c>
      <c r="J18" s="131"/>
      <c r="K18" s="131">
        <f t="shared" si="3"/>
        <v>-1944.3263972031991</v>
      </c>
      <c r="L18" s="132">
        <f t="shared" si="4"/>
        <v>2.9214653857971239E-2</v>
      </c>
      <c r="M18" s="132">
        <f t="shared" si="5"/>
        <v>33.091919230732053</v>
      </c>
      <c r="N18" s="133">
        <f t="shared" si="6"/>
        <v>1948.1839125697222</v>
      </c>
      <c r="O18" s="133">
        <f t="shared" si="12"/>
        <v>1952.1575153665231</v>
      </c>
      <c r="P18" s="133">
        <f t="shared" si="7"/>
        <v>3.8575153665231028</v>
      </c>
      <c r="Q18" s="133">
        <f t="shared" si="13"/>
        <v>0</v>
      </c>
      <c r="R18" s="133">
        <f t="shared" si="8"/>
        <v>3.8575153665231028</v>
      </c>
      <c r="S18" s="131">
        <f t="shared" si="9"/>
        <v>0.87950646751552719</v>
      </c>
      <c r="T18" s="134">
        <f t="shared" si="14"/>
        <v>1944.3263972031991</v>
      </c>
      <c r="U18" s="134">
        <f t="shared" si="10"/>
        <v>179.78934762660185</v>
      </c>
    </row>
    <row r="19" spans="1:21">
      <c r="A19" s="128" t="s">
        <v>287</v>
      </c>
      <c r="B19" s="128">
        <v>849</v>
      </c>
      <c r="C19" s="129">
        <v>678</v>
      </c>
      <c r="D19" s="129">
        <v>0</v>
      </c>
      <c r="E19" s="130">
        <f t="shared" si="11"/>
        <v>6.294008907619367</v>
      </c>
      <c r="F19" s="129">
        <f t="shared" si="0"/>
        <v>684.2940089076194</v>
      </c>
      <c r="G19" s="129">
        <f>[1]Лист2!V21</f>
        <v>49199</v>
      </c>
      <c r="H19" s="129">
        <f t="shared" si="1"/>
        <v>-48521</v>
      </c>
      <c r="I19" s="129">
        <f t="shared" si="2"/>
        <v>-48514.705991092378</v>
      </c>
      <c r="J19" s="131"/>
      <c r="K19" s="131">
        <f t="shared" si="3"/>
        <v>-48514.705991092378</v>
      </c>
      <c r="L19" s="132">
        <f t="shared" si="4"/>
        <v>0.38017179695396824</v>
      </c>
      <c r="M19" s="132">
        <f t="shared" si="5"/>
        <v>2.481766803601988</v>
      </c>
      <c r="N19" s="133">
        <f t="shared" si="6"/>
        <v>48518.607195323544</v>
      </c>
      <c r="O19" s="133">
        <f t="shared" si="12"/>
        <v>48524.901204231166</v>
      </c>
      <c r="P19" s="133">
        <f t="shared" si="7"/>
        <v>3.901204231166048</v>
      </c>
      <c r="Q19" s="133">
        <f t="shared" si="13"/>
        <v>0</v>
      </c>
      <c r="R19" s="133">
        <f t="shared" si="8"/>
        <v>3.901204231166048</v>
      </c>
      <c r="S19" s="131">
        <f t="shared" si="9"/>
        <v>0.57539885415428438</v>
      </c>
      <c r="T19" s="134">
        <f t="shared" si="14"/>
        <v>48514.705991092378</v>
      </c>
      <c r="U19" s="134">
        <f t="shared" si="10"/>
        <v>180.06611313871048</v>
      </c>
    </row>
    <row r="20" spans="1:21">
      <c r="A20" s="128" t="s">
        <v>288</v>
      </c>
      <c r="B20" s="128">
        <f>252+5994</f>
        <v>6246</v>
      </c>
      <c r="C20" s="129">
        <v>10167</v>
      </c>
      <c r="D20" s="129">
        <v>0</v>
      </c>
      <c r="E20" s="130">
        <f t="shared" si="11"/>
        <v>46.304334083616688</v>
      </c>
      <c r="F20" s="129">
        <f t="shared" si="0"/>
        <v>10213.304334083618</v>
      </c>
      <c r="G20" s="129">
        <f>[1]Лист2!V22</f>
        <v>2166.8000000000002</v>
      </c>
      <c r="H20" s="129">
        <f t="shared" si="1"/>
        <v>8000.2</v>
      </c>
      <c r="I20" s="129">
        <f t="shared" si="2"/>
        <v>8046.5043340836173</v>
      </c>
      <c r="J20" s="131"/>
      <c r="K20" s="131">
        <f t="shared" si="3"/>
        <v>8046.5043340836173</v>
      </c>
      <c r="L20" s="132">
        <f t="shared" si="4"/>
        <v>2.2758737007989994E-3</v>
      </c>
      <c r="M20" s="132">
        <f t="shared" si="5"/>
        <v>845.00941808223718</v>
      </c>
      <c r="N20" s="133">
        <f t="shared" si="6"/>
        <v>0</v>
      </c>
      <c r="O20" s="133">
        <f t="shared" si="12"/>
        <v>46.304334083616688</v>
      </c>
      <c r="P20" s="133">
        <f t="shared" si="7"/>
        <v>8046.5043340836173</v>
      </c>
      <c r="Q20" s="133">
        <f t="shared" si="13"/>
        <v>0</v>
      </c>
      <c r="R20" s="133">
        <f t="shared" si="8"/>
        <v>8046.5043340836173</v>
      </c>
      <c r="S20" s="131">
        <f t="shared" si="9"/>
        <v>79.143349405759977</v>
      </c>
      <c r="T20" s="134">
        <f t="shared" si="14"/>
        <v>0</v>
      </c>
      <c r="U20" s="134">
        <f t="shared" si="10"/>
        <v>845.00941808223718</v>
      </c>
    </row>
    <row r="21" spans="1:21">
      <c r="A21" s="128" t="s">
        <v>289</v>
      </c>
      <c r="B21" s="128">
        <v>599</v>
      </c>
      <c r="C21" s="129">
        <v>507</v>
      </c>
      <c r="D21" s="129">
        <v>0</v>
      </c>
      <c r="E21" s="130">
        <f t="shared" si="11"/>
        <v>4.4406493941861029</v>
      </c>
      <c r="F21" s="129">
        <f t="shared" si="0"/>
        <v>511.4406493941861</v>
      </c>
      <c r="G21" s="129">
        <f>[1]Лист2!V23</f>
        <v>91305.2</v>
      </c>
      <c r="H21" s="129">
        <f t="shared" si="1"/>
        <v>-90798.2</v>
      </c>
      <c r="I21" s="129">
        <f t="shared" si="2"/>
        <v>-90793.759350605804</v>
      </c>
      <c r="J21" s="131"/>
      <c r="K21" s="131">
        <f t="shared" si="3"/>
        <v>-90793.759350605804</v>
      </c>
      <c r="L21" s="132">
        <f t="shared" si="4"/>
        <v>1</v>
      </c>
      <c r="M21" s="132">
        <f t="shared" si="5"/>
        <v>1</v>
      </c>
      <c r="N21" s="133">
        <f t="shared" si="6"/>
        <v>90793.759350605804</v>
      </c>
      <c r="O21" s="133">
        <f t="shared" si="12"/>
        <v>90798.2</v>
      </c>
      <c r="P21" s="133">
        <f t="shared" si="7"/>
        <v>0</v>
      </c>
      <c r="Q21" s="133">
        <f t="shared" si="13"/>
        <v>0</v>
      </c>
      <c r="R21" s="133">
        <f t="shared" si="8"/>
        <v>0</v>
      </c>
      <c r="S21" s="131">
        <f t="shared" si="9"/>
        <v>0</v>
      </c>
      <c r="T21" s="134">
        <f t="shared" si="14"/>
        <v>90793.759350605804</v>
      </c>
      <c r="U21" s="134">
        <f t="shared" si="10"/>
        <v>180.08039319646116</v>
      </c>
    </row>
    <row r="22" spans="1:21">
      <c r="A22" s="124" t="s">
        <v>290</v>
      </c>
      <c r="B22" s="135">
        <f>SUM(B4:B21)</f>
        <v>20881</v>
      </c>
      <c r="C22" s="136">
        <f>SUM(C4:C21)</f>
        <v>24026</v>
      </c>
      <c r="D22" s="136">
        <v>0</v>
      </c>
      <c r="E22" s="137">
        <v>154.80000000000001</v>
      </c>
      <c r="F22" s="136">
        <f t="shared" ref="F22:K22" si="15">SUM(F4:F21)</f>
        <v>24180.800000000003</v>
      </c>
      <c r="G22" s="136" t="e">
        <f t="shared" si="15"/>
        <v>#REF!</v>
      </c>
      <c r="H22" s="136" t="e">
        <f t="shared" si="15"/>
        <v>#REF!</v>
      </c>
      <c r="I22" s="136" t="e">
        <f t="shared" si="15"/>
        <v>#REF!</v>
      </c>
      <c r="J22" s="138"/>
      <c r="K22" s="136" t="e">
        <f t="shared" si="15"/>
        <v>#REF!</v>
      </c>
      <c r="L22" s="139"/>
      <c r="M22" s="132"/>
      <c r="N22" s="139" t="e">
        <f>SUM(N4:N21)</f>
        <v>#REF!</v>
      </c>
      <c r="O22" s="139" t="e">
        <f>SUM(O4:O21)</f>
        <v>#REF!</v>
      </c>
      <c r="P22" s="139" t="e">
        <f>SUM(P4:P21)</f>
        <v>#REF!</v>
      </c>
      <c r="Q22" s="139" t="e">
        <f>SUM(Q4:Q21)</f>
        <v>#REF!</v>
      </c>
      <c r="R22" s="139" t="e">
        <f>SUM(R4:R21)</f>
        <v>#REF!</v>
      </c>
      <c r="S22" s="140"/>
      <c r="T22" s="135" t="e">
        <f>SUM(T4:T21)</f>
        <v>#REF!</v>
      </c>
      <c r="U22" s="23" t="e">
        <f>MIN(U4:U21)</f>
        <v>#REF!</v>
      </c>
    </row>
    <row r="24" spans="1:21">
      <c r="G24" s="119" t="s">
        <v>291</v>
      </c>
      <c r="H24" s="13">
        <f>SUMIF(H4:H21,"&gt;0",H4:H21)</f>
        <v>8642.9</v>
      </c>
      <c r="I24" s="13">
        <f>SUMIF(I4:I21,"&gt;0",I4:I21)</f>
        <v>8693.444820650353</v>
      </c>
      <c r="J24" s="13"/>
      <c r="K24" s="13">
        <f>SUMIF(K4:K21,"&gt;0",K4:K21)</f>
        <v>8693.444820650353</v>
      </c>
      <c r="L24" s="13"/>
      <c r="M24" s="13"/>
      <c r="N24" s="13"/>
      <c r="O24" s="13"/>
      <c r="P24" s="13">
        <f>SUMIF(P4:P21,"&gt;0",P4:P21)</f>
        <v>8782.1938618782624</v>
      </c>
      <c r="R24" s="13">
        <f>SUMIF(R4:R21,"&gt;0",R4:R21)</f>
        <v>8782.1938618782624</v>
      </c>
    </row>
    <row r="25" spans="1:21">
      <c r="G25" s="119" t="s">
        <v>292</v>
      </c>
      <c r="H25" s="13">
        <f>SUMIF(H4:H21,"&lt;0",H4:H21)</f>
        <v>-163899.59999999998</v>
      </c>
      <c r="I25" s="13">
        <f>SUMIF(I4:I21,"&lt;0",I4:I21)</f>
        <v>-163802.36534648723</v>
      </c>
      <c r="J25" s="13"/>
      <c r="K25" s="13">
        <f>SUMIF(K4:K21,"&lt;0",K4:K21)</f>
        <v>-163802.36534648723</v>
      </c>
      <c r="L25" s="13"/>
      <c r="M25" s="13"/>
      <c r="N25" s="13"/>
      <c r="O25" s="13"/>
      <c r="P25" s="13">
        <f>SUMIF(P4:P21,"&lt;0",P4:P21)</f>
        <v>0</v>
      </c>
      <c r="R25" s="13">
        <f>SUMIF(R4:R21,"&lt;0",R4:R21)</f>
        <v>0</v>
      </c>
    </row>
    <row r="27" spans="1:21">
      <c r="A27" s="140" t="s">
        <v>293</v>
      </c>
      <c r="B27" s="140"/>
      <c r="C27" s="141" t="e">
        <f>'[2]сельские '!L34</f>
        <v>#REF!</v>
      </c>
      <c r="D27" s="140"/>
      <c r="E27" s="140"/>
      <c r="F27" s="140"/>
      <c r="G27" s="142">
        <v>24938</v>
      </c>
      <c r="H27" s="140" t="e">
        <f>C27-G27</f>
        <v>#REF!</v>
      </c>
      <c r="I27" s="140"/>
      <c r="J27" s="140"/>
      <c r="K27" s="133" t="e">
        <f>H27+J22</f>
        <v>#REF!</v>
      </c>
      <c r="L27" s="133"/>
      <c r="M27" s="140"/>
      <c r="N27" s="140"/>
      <c r="O27" s="140"/>
      <c r="P27" s="133" t="e">
        <f>K27-N22</f>
        <v>#REF!</v>
      </c>
      <c r="Q27" s="140"/>
      <c r="R27" s="133" t="e">
        <f>P27-Q22</f>
        <v>#REF!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2"/>
  <sheetViews>
    <sheetView workbookViewId="0">
      <selection activeCell="A3" sqref="A3"/>
    </sheetView>
  </sheetViews>
  <sheetFormatPr defaultRowHeight="12.75"/>
  <cols>
    <col min="1" max="1" width="25.28515625" customWidth="1"/>
  </cols>
  <sheetData>
    <row r="2" spans="1:12" ht="13.5" thickBot="1">
      <c r="A2" s="143" t="s">
        <v>294</v>
      </c>
    </row>
    <row r="3" spans="1:12" ht="191.25">
      <c r="A3" s="144" t="s">
        <v>251</v>
      </c>
      <c r="B3" s="145" t="s">
        <v>252</v>
      </c>
      <c r="C3" s="145" t="s">
        <v>253</v>
      </c>
      <c r="D3" s="146" t="s">
        <v>255</v>
      </c>
      <c r="E3" s="146" t="s">
        <v>264</v>
      </c>
      <c r="F3" s="146" t="s">
        <v>295</v>
      </c>
      <c r="G3" s="146" t="s">
        <v>267</v>
      </c>
      <c r="H3" s="146" t="s">
        <v>296</v>
      </c>
      <c r="I3" s="147" t="s">
        <v>297</v>
      </c>
      <c r="J3" s="146" t="s">
        <v>298</v>
      </c>
      <c r="K3" s="147" t="s">
        <v>295</v>
      </c>
      <c r="L3" s="148" t="s">
        <v>299</v>
      </c>
    </row>
    <row r="4" spans="1:12">
      <c r="A4" s="149" t="s">
        <v>272</v>
      </c>
      <c r="B4" s="128">
        <v>947</v>
      </c>
      <c r="C4" s="129">
        <v>533</v>
      </c>
      <c r="D4" s="150">
        <v>1</v>
      </c>
      <c r="E4" s="129">
        <v>1492.7</v>
      </c>
      <c r="F4" s="151">
        <f>[1]Лист2!U6</f>
        <v>64.3</v>
      </c>
      <c r="G4" s="151">
        <v>0.1</v>
      </c>
      <c r="H4" s="129">
        <f>D4+E4+F4+G4</f>
        <v>1558.1</v>
      </c>
      <c r="I4" s="152">
        <f>H4+C4</f>
        <v>2091.1</v>
      </c>
      <c r="J4" s="152">
        <f>[1]Лист2!T6</f>
        <v>1954.2</v>
      </c>
      <c r="K4" s="151">
        <f>[1]Лист2!U6</f>
        <v>64.3</v>
      </c>
      <c r="L4" s="153">
        <f>J4-K4</f>
        <v>1889.9</v>
      </c>
    </row>
    <row r="5" spans="1:12">
      <c r="A5" s="149" t="s">
        <v>273</v>
      </c>
      <c r="B5" s="128">
        <v>751</v>
      </c>
      <c r="C5" s="129">
        <v>500</v>
      </c>
      <c r="D5" s="150">
        <v>0.8</v>
      </c>
      <c r="E5" s="129">
        <v>1388.9</v>
      </c>
      <c r="F5" s="151">
        <f>[1]Лист2!U7</f>
        <v>84.8</v>
      </c>
      <c r="G5" s="151">
        <v>0.2</v>
      </c>
      <c r="H5" s="129">
        <f t="shared" ref="H5:H21" si="0">D5+E5+F5+G5</f>
        <v>1474.7</v>
      </c>
      <c r="I5" s="152">
        <f t="shared" ref="I5:I20" si="1">H5+C5</f>
        <v>1974.7</v>
      </c>
      <c r="J5" s="152">
        <f>[1]Лист2!T7</f>
        <v>3476.5</v>
      </c>
      <c r="K5" s="151">
        <f>[1]Лист2!U7</f>
        <v>84.8</v>
      </c>
      <c r="L5" s="153">
        <f t="shared" ref="L5:L21" si="2">J5-K5</f>
        <v>3391.7</v>
      </c>
    </row>
    <row r="6" spans="1:12">
      <c r="A6" s="149" t="s">
        <v>274</v>
      </c>
      <c r="B6" s="128">
        <v>1241</v>
      </c>
      <c r="C6" s="129">
        <v>899</v>
      </c>
      <c r="D6" s="150">
        <v>1.3</v>
      </c>
      <c r="E6" s="129">
        <v>2490.9</v>
      </c>
      <c r="F6" s="151">
        <f>[1]Лист2!U8</f>
        <v>56.900000000000006</v>
      </c>
      <c r="G6" s="151">
        <v>0.5</v>
      </c>
      <c r="H6" s="129">
        <f t="shared" si="0"/>
        <v>2549.6000000000004</v>
      </c>
      <c r="I6" s="152">
        <f t="shared" si="1"/>
        <v>3448.6000000000004</v>
      </c>
      <c r="J6" s="152">
        <f>[1]Лист2!T8</f>
        <v>2035.4</v>
      </c>
      <c r="K6" s="151">
        <f>[1]Лист2!U8</f>
        <v>56.900000000000006</v>
      </c>
      <c r="L6" s="153">
        <f t="shared" si="2"/>
        <v>1978.5</v>
      </c>
    </row>
    <row r="7" spans="1:12">
      <c r="A7" s="149" t="s">
        <v>275</v>
      </c>
      <c r="B7" s="128">
        <v>479</v>
      </c>
      <c r="C7" s="129">
        <v>475</v>
      </c>
      <c r="D7" s="150">
        <v>0.5</v>
      </c>
      <c r="E7" s="129">
        <v>1502.4</v>
      </c>
      <c r="F7" s="151">
        <f>[1]Лист2!U9</f>
        <v>60.699999999999996</v>
      </c>
      <c r="G7" s="151">
        <v>0.6</v>
      </c>
      <c r="H7" s="129">
        <f t="shared" si="0"/>
        <v>1564.2</v>
      </c>
      <c r="I7" s="152">
        <f t="shared" si="1"/>
        <v>2039.2</v>
      </c>
      <c r="J7" s="152">
        <f>[1]Лист2!T9</f>
        <v>2192.2999999999997</v>
      </c>
      <c r="K7" s="151">
        <f>[1]Лист2!U9</f>
        <v>60.699999999999996</v>
      </c>
      <c r="L7" s="153">
        <f t="shared" si="2"/>
        <v>2131.6</v>
      </c>
    </row>
    <row r="8" spans="1:12">
      <c r="A8" s="149" t="s">
        <v>276</v>
      </c>
      <c r="B8" s="128">
        <v>572</v>
      </c>
      <c r="C8" s="129">
        <v>2131</v>
      </c>
      <c r="D8" s="150">
        <v>0.6</v>
      </c>
      <c r="E8" s="129"/>
      <c r="F8" s="151">
        <f>[1]Лист2!U10</f>
        <v>68.099999999999994</v>
      </c>
      <c r="G8" s="151"/>
      <c r="H8" s="129">
        <f t="shared" si="0"/>
        <v>68.699999999999989</v>
      </c>
      <c r="I8" s="152">
        <f t="shared" si="1"/>
        <v>2199.6999999999998</v>
      </c>
      <c r="J8" s="152">
        <f>[1]Лист2!T10</f>
        <v>2120.3999999999996</v>
      </c>
      <c r="K8" s="151">
        <f>[1]Лист2!U10</f>
        <v>68.099999999999994</v>
      </c>
      <c r="L8" s="153">
        <f t="shared" si="2"/>
        <v>2052.2999999999997</v>
      </c>
    </row>
    <row r="9" spans="1:12">
      <c r="A9" s="149" t="s">
        <v>277</v>
      </c>
      <c r="B9" s="128">
        <v>703</v>
      </c>
      <c r="C9" s="129">
        <v>594</v>
      </c>
      <c r="D9" s="150">
        <v>0.7</v>
      </c>
      <c r="E9" s="129">
        <v>1457.2</v>
      </c>
      <c r="F9" s="151">
        <f>[1]Лист2!U11</f>
        <v>84.3</v>
      </c>
      <c r="G9" s="151">
        <v>0.4</v>
      </c>
      <c r="H9" s="129">
        <f t="shared" si="0"/>
        <v>1542.6000000000001</v>
      </c>
      <c r="I9" s="152">
        <f t="shared" si="1"/>
        <v>2136.6000000000004</v>
      </c>
      <c r="J9" s="152">
        <f>[1]Лист2!T11</f>
        <v>3388</v>
      </c>
      <c r="K9" s="151">
        <f>[1]Лист2!U11</f>
        <v>84.3</v>
      </c>
      <c r="L9" s="153">
        <f t="shared" si="2"/>
        <v>3303.7</v>
      </c>
    </row>
    <row r="10" spans="1:12">
      <c r="A10" s="149" t="s">
        <v>278</v>
      </c>
      <c r="B10" s="128">
        <v>1681</v>
      </c>
      <c r="C10" s="129">
        <v>970</v>
      </c>
      <c r="D10" s="150">
        <v>1.8</v>
      </c>
      <c r="E10" s="129">
        <v>2331.9</v>
      </c>
      <c r="F10" s="151">
        <f>[1]Лист2!U12</f>
        <v>58.9</v>
      </c>
      <c r="G10" s="151"/>
      <c r="H10" s="129">
        <f t="shared" si="0"/>
        <v>2392.6000000000004</v>
      </c>
      <c r="I10" s="152">
        <f t="shared" si="1"/>
        <v>3362.6000000000004</v>
      </c>
      <c r="J10" s="152">
        <f>[1]Лист2!T12</f>
        <v>2616.1000000000004</v>
      </c>
      <c r="K10" s="151">
        <f>[1]Лист2!U12</f>
        <v>58.9</v>
      </c>
      <c r="L10" s="153">
        <f t="shared" si="2"/>
        <v>2557.2000000000003</v>
      </c>
    </row>
    <row r="11" spans="1:12">
      <c r="A11" s="149" t="s">
        <v>279</v>
      </c>
      <c r="B11" s="128">
        <v>537</v>
      </c>
      <c r="C11" s="129">
        <v>568</v>
      </c>
      <c r="D11" s="150">
        <v>0.6</v>
      </c>
      <c r="E11" s="129">
        <v>1987.8</v>
      </c>
      <c r="F11" s="151">
        <f>[1]Лист2!U13</f>
        <v>84.6</v>
      </c>
      <c r="G11" s="151">
        <v>0.8</v>
      </c>
      <c r="H11" s="129">
        <f t="shared" si="0"/>
        <v>2073.8000000000002</v>
      </c>
      <c r="I11" s="152">
        <f t="shared" si="1"/>
        <v>2641.8</v>
      </c>
      <c r="J11" s="152">
        <f>[1]Лист2!T13</f>
        <v>2761.6</v>
      </c>
      <c r="K11" s="151">
        <f>[1]Лист2!U13</f>
        <v>84.6</v>
      </c>
      <c r="L11" s="153">
        <f t="shared" si="2"/>
        <v>2677</v>
      </c>
    </row>
    <row r="12" spans="1:12">
      <c r="A12" s="149" t="s">
        <v>280</v>
      </c>
      <c r="B12" s="128">
        <v>1332</v>
      </c>
      <c r="C12" s="129">
        <v>796</v>
      </c>
      <c r="D12" s="150">
        <v>1.4</v>
      </c>
      <c r="E12" s="129">
        <v>1879.6</v>
      </c>
      <c r="F12" s="151">
        <f>[1]Лист2!U14</f>
        <v>61</v>
      </c>
      <c r="G12" s="151"/>
      <c r="H12" s="129">
        <f t="shared" si="0"/>
        <v>1942</v>
      </c>
      <c r="I12" s="152">
        <f t="shared" si="1"/>
        <v>2738</v>
      </c>
      <c r="J12" s="152">
        <f>[1]Лист2!T14</f>
        <v>1805.8000000000002</v>
      </c>
      <c r="K12" s="151">
        <f>[1]Лист2!U14</f>
        <v>61</v>
      </c>
      <c r="L12" s="153">
        <f t="shared" si="2"/>
        <v>1744.8000000000002</v>
      </c>
    </row>
    <row r="13" spans="1:12">
      <c r="A13" s="149" t="s">
        <v>281</v>
      </c>
      <c r="B13" s="128">
        <v>640</v>
      </c>
      <c r="C13" s="129">
        <v>654</v>
      </c>
      <c r="D13" s="150">
        <v>0.7</v>
      </c>
      <c r="E13" s="129">
        <v>1089.8</v>
      </c>
      <c r="F13" s="151">
        <f>[1]Лист2!U15</f>
        <v>65.099999999999994</v>
      </c>
      <c r="G13" s="151">
        <v>0.3</v>
      </c>
      <c r="H13" s="129">
        <f t="shared" si="0"/>
        <v>1155.8999999999999</v>
      </c>
      <c r="I13" s="152">
        <f t="shared" si="1"/>
        <v>1809.8999999999999</v>
      </c>
      <c r="J13" s="152">
        <f>[1]Лист2!T15</f>
        <v>3474.2000000000003</v>
      </c>
      <c r="K13" s="151">
        <f>[1]Лист2!U15</f>
        <v>65.099999999999994</v>
      </c>
      <c r="L13" s="153">
        <f t="shared" si="2"/>
        <v>3409.1000000000004</v>
      </c>
    </row>
    <row r="14" spans="1:12">
      <c r="A14" s="149" t="s">
        <v>282</v>
      </c>
      <c r="B14" s="128">
        <v>1099</v>
      </c>
      <c r="C14" s="129">
        <v>676</v>
      </c>
      <c r="D14" s="150">
        <v>1.2</v>
      </c>
      <c r="E14" s="129">
        <v>2731.2</v>
      </c>
      <c r="F14" s="151">
        <f>[1]Лист2!U16</f>
        <v>59</v>
      </c>
      <c r="G14" s="151">
        <v>0.7</v>
      </c>
      <c r="H14" s="129">
        <f>D14+E14+F14+G14</f>
        <v>2792.0999999999995</v>
      </c>
      <c r="I14" s="152">
        <f t="shared" si="1"/>
        <v>3468.0999999999995</v>
      </c>
      <c r="J14" s="152">
        <f>[1]Лист2!T16</f>
        <v>2468.3000000000002</v>
      </c>
      <c r="K14" s="151">
        <f>[1]Лист2!U16</f>
        <v>59</v>
      </c>
      <c r="L14" s="153">
        <f t="shared" si="2"/>
        <v>2409.3000000000002</v>
      </c>
    </row>
    <row r="15" spans="1:12">
      <c r="A15" s="149" t="s">
        <v>283</v>
      </c>
      <c r="B15" s="128">
        <v>695</v>
      </c>
      <c r="C15" s="129">
        <v>647</v>
      </c>
      <c r="D15" s="150">
        <v>0.7</v>
      </c>
      <c r="E15" s="129">
        <v>1761</v>
      </c>
      <c r="F15" s="151">
        <f>[1]Лист2!U17</f>
        <v>69.399999999999991</v>
      </c>
      <c r="G15" s="151">
        <v>0.6</v>
      </c>
      <c r="H15" s="129">
        <f t="shared" si="0"/>
        <v>1831.7</v>
      </c>
      <c r="I15" s="152">
        <f t="shared" si="1"/>
        <v>2478.6999999999998</v>
      </c>
      <c r="J15" s="152">
        <f>[1]Лист2!T17</f>
        <v>2475.1000000000004</v>
      </c>
      <c r="K15" s="151">
        <f>[1]Лист2!U17</f>
        <v>69.399999999999991</v>
      </c>
      <c r="L15" s="153">
        <f t="shared" si="2"/>
        <v>2405.7000000000003</v>
      </c>
    </row>
    <row r="16" spans="1:12">
      <c r="A16" s="149" t="s">
        <v>284</v>
      </c>
      <c r="B16" s="128">
        <v>934</v>
      </c>
      <c r="C16" s="129">
        <v>766</v>
      </c>
      <c r="D16" s="150">
        <v>1</v>
      </c>
      <c r="E16" s="129">
        <v>1638.4</v>
      </c>
      <c r="F16" s="151">
        <f>[1]Лист2!U18</f>
        <v>75.599999999999994</v>
      </c>
      <c r="G16" s="151">
        <v>0.3</v>
      </c>
      <c r="H16" s="129">
        <f t="shared" si="0"/>
        <v>1715.3</v>
      </c>
      <c r="I16" s="152">
        <f t="shared" si="1"/>
        <v>2481.3000000000002</v>
      </c>
      <c r="J16" s="152">
        <f>[1]Лист2!T18</f>
        <v>3859.7000000000003</v>
      </c>
      <c r="K16" s="151">
        <f>[1]Лист2!U18</f>
        <v>75.599999999999994</v>
      </c>
      <c r="L16" s="153">
        <f t="shared" si="2"/>
        <v>3784.1000000000004</v>
      </c>
    </row>
    <row r="17" spans="1:12">
      <c r="A17" s="149" t="s">
        <v>285</v>
      </c>
      <c r="B17" s="128">
        <f>252+788</f>
        <v>1040</v>
      </c>
      <c r="C17" s="129">
        <v>878</v>
      </c>
      <c r="D17" s="150">
        <v>1</v>
      </c>
      <c r="E17" s="129">
        <v>2904.2</v>
      </c>
      <c r="F17" s="151">
        <f>[1]Лист2!U19</f>
        <v>60.599999999999994</v>
      </c>
      <c r="G17" s="151">
        <v>0.9</v>
      </c>
      <c r="H17" s="129">
        <f t="shared" si="0"/>
        <v>2966.7</v>
      </c>
      <c r="I17" s="152">
        <f t="shared" si="1"/>
        <v>3844.7</v>
      </c>
      <c r="J17" s="152">
        <f>[1]Лист2!T19</f>
        <v>1851.4</v>
      </c>
      <c r="K17" s="151">
        <f>[1]Лист2!U19</f>
        <v>60.599999999999994</v>
      </c>
      <c r="L17" s="153">
        <f t="shared" si="2"/>
        <v>1790.8000000000002</v>
      </c>
    </row>
    <row r="18" spans="1:12">
      <c r="A18" s="149" t="s">
        <v>286</v>
      </c>
      <c r="B18" s="128">
        <v>536</v>
      </c>
      <c r="C18" s="129">
        <v>415</v>
      </c>
      <c r="D18" s="150">
        <v>0.6</v>
      </c>
      <c r="E18" s="129">
        <v>1374.8</v>
      </c>
      <c r="F18" s="151">
        <f>[1]Лист2!U20</f>
        <v>68.5</v>
      </c>
      <c r="G18" s="151">
        <v>0.4</v>
      </c>
      <c r="H18" s="129">
        <f t="shared" si="0"/>
        <v>1444.3</v>
      </c>
      <c r="I18" s="152">
        <f t="shared" si="1"/>
        <v>1859.3</v>
      </c>
      <c r="J18" s="152">
        <f>[1]Лист2!T20</f>
        <v>2455.4</v>
      </c>
      <c r="K18" s="151">
        <f>[1]Лист2!U20</f>
        <v>68.5</v>
      </c>
      <c r="L18" s="153">
        <f t="shared" si="2"/>
        <v>2386.9</v>
      </c>
    </row>
    <row r="19" spans="1:12">
      <c r="A19" s="149" t="s">
        <v>287</v>
      </c>
      <c r="B19" s="128">
        <v>849</v>
      </c>
      <c r="C19" s="129">
        <v>572</v>
      </c>
      <c r="D19" s="150">
        <v>0.9</v>
      </c>
      <c r="E19" s="129">
        <v>1813.6</v>
      </c>
      <c r="F19" s="151">
        <f>[1]Лист2!U21</f>
        <v>0</v>
      </c>
      <c r="G19" s="151">
        <v>0.4</v>
      </c>
      <c r="H19" s="129">
        <f t="shared" si="0"/>
        <v>1814.9</v>
      </c>
      <c r="I19" s="152">
        <f t="shared" si="1"/>
        <v>2386.9</v>
      </c>
      <c r="J19" s="152">
        <f>[1]Лист2!T21</f>
        <v>49199.000000000007</v>
      </c>
      <c r="K19" s="151">
        <f>[1]Лист2!U21</f>
        <v>0</v>
      </c>
      <c r="L19" s="153">
        <f t="shared" si="2"/>
        <v>49199.000000000007</v>
      </c>
    </row>
    <row r="20" spans="1:12">
      <c r="A20" s="149" t="s">
        <v>288</v>
      </c>
      <c r="B20" s="128">
        <f>252+5994</f>
        <v>6246</v>
      </c>
      <c r="C20" s="129">
        <v>7604.5</v>
      </c>
      <c r="D20" s="150">
        <v>6.6</v>
      </c>
      <c r="E20" s="129">
        <v>41568.1</v>
      </c>
      <c r="F20" s="151">
        <f>[1]Лист2!U22</f>
        <v>60.599999999999994</v>
      </c>
      <c r="G20" s="151">
        <v>19.8</v>
      </c>
      <c r="H20" s="129">
        <f t="shared" si="0"/>
        <v>41655.1</v>
      </c>
      <c r="I20" s="152">
        <f t="shared" si="1"/>
        <v>49259.6</v>
      </c>
      <c r="J20" s="152">
        <f>[1]Лист2!T22</f>
        <v>2227.4</v>
      </c>
      <c r="K20" s="151">
        <f>[1]Лист2!U22</f>
        <v>60.599999999999994</v>
      </c>
      <c r="L20" s="153">
        <f t="shared" si="2"/>
        <v>2166.8000000000002</v>
      </c>
    </row>
    <row r="21" spans="1:12">
      <c r="A21" s="149" t="s">
        <v>289</v>
      </c>
      <c r="B21" s="128">
        <v>599</v>
      </c>
      <c r="C21" s="129">
        <v>543</v>
      </c>
      <c r="D21" s="150">
        <v>0.6</v>
      </c>
      <c r="E21" s="129">
        <v>1622.7</v>
      </c>
      <c r="F21" s="151">
        <f>[1]Лист2!U23</f>
        <v>1147.3</v>
      </c>
      <c r="G21" s="151">
        <v>0.5</v>
      </c>
      <c r="H21" s="129">
        <f t="shared" si="0"/>
        <v>2771.1</v>
      </c>
      <c r="I21" s="152">
        <f>H21+C21</f>
        <v>3314.1</v>
      </c>
      <c r="J21" s="152">
        <f>[1]Лист2!T23</f>
        <v>92452.5</v>
      </c>
      <c r="K21" s="151">
        <f>[1]Лист2!U23</f>
        <v>1147.3</v>
      </c>
      <c r="L21" s="153">
        <f t="shared" si="2"/>
        <v>91305.2</v>
      </c>
    </row>
    <row r="22" spans="1:12" ht="13.5" thickBot="1">
      <c r="A22" s="154" t="s">
        <v>290</v>
      </c>
      <c r="B22" s="155">
        <f t="shared" ref="B22:L22" si="3">SUM(B4:B21)</f>
        <v>20881</v>
      </c>
      <c r="C22" s="155">
        <f t="shared" si="3"/>
        <v>20221.5</v>
      </c>
      <c r="D22" s="156">
        <f>SUM(D4:D21)</f>
        <v>22</v>
      </c>
      <c r="E22" s="155">
        <f t="shared" si="3"/>
        <v>71035.199999999997</v>
      </c>
      <c r="F22" s="156">
        <f t="shared" si="3"/>
        <v>2229.6999999999998</v>
      </c>
      <c r="G22" s="156">
        <f t="shared" si="3"/>
        <v>26.5</v>
      </c>
      <c r="H22" s="155">
        <f t="shared" si="3"/>
        <v>73313.400000000009</v>
      </c>
      <c r="I22" s="156">
        <f t="shared" si="3"/>
        <v>93534.900000000009</v>
      </c>
      <c r="J22" s="156">
        <f>SUM(J4:J21)</f>
        <v>182813.3</v>
      </c>
      <c r="K22" s="156">
        <f t="shared" si="3"/>
        <v>2229.6999999999998</v>
      </c>
      <c r="L22" s="157">
        <f t="shared" si="3"/>
        <v>180583.6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2014 ведомст</vt:lpstr>
      <vt:lpstr>2014 функц</vt:lpstr>
      <vt:lpstr>11 дот бюдж обесп</vt:lpstr>
      <vt:lpstr>13дот сбалансир</vt:lpstr>
      <vt:lpstr>17 военк2013</vt:lpstr>
      <vt:lpstr>18 военк2016 2015</vt:lpstr>
      <vt:lpstr>1 источники</vt:lpstr>
      <vt:lpstr>Лист1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cher-rfo1</dc:creator>
  <cp:lastModifiedBy>cher-rfo1</cp:lastModifiedBy>
  <cp:lastPrinted>2013-11-28T11:12:24Z</cp:lastPrinted>
  <dcterms:created xsi:type="dcterms:W3CDTF">2013-10-19T12:12:37Z</dcterms:created>
  <dcterms:modified xsi:type="dcterms:W3CDTF">2013-12-11T13:05:16Z</dcterms:modified>
</cp:coreProperties>
</file>